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ominas Ejercicio Fiscal 2022\12. Diciembre 2022\"/>
    </mc:Choice>
  </mc:AlternateContent>
  <xr:revisionPtr revIDLastSave="0" documentId="13_ncr:1_{B4AC90D1-4C5D-4D0B-8669-451B97DD277A}" xr6:coauthVersionLast="47" xr6:coauthVersionMax="47" xr10:uidLastSave="{00000000-0000-0000-0000-000000000000}"/>
  <bookViews>
    <workbookView xWindow="-120" yWindow="-120" windowWidth="20730" windowHeight="11160" firstSheet="2" activeTab="6" xr2:uid="{A198F636-0E02-487E-89DC-D0FD95F93903}"/>
  </bookViews>
  <sheets>
    <sheet name="Aguinaldo Regidores 2022" sheetId="1" r:id="rId1"/>
    <sheet name="Regidores" sheetId="6" r:id="rId2"/>
    <sheet name="Aguinaldo Base 2022" sheetId="2" r:id="rId3"/>
    <sheet name="Base" sheetId="7" r:id="rId4"/>
    <sheet name="Aguinaldo Eventual 2022" sheetId="3" r:id="rId5"/>
    <sheet name="Eventual " sheetId="8" r:id="rId6"/>
    <sheet name="Aguinaldo SP y PC 2022" sheetId="4" r:id="rId7"/>
    <sheet name="SP Y PC " sheetId="9" r:id="rId8"/>
    <sheet name="Aguinaldo Pensionados 2022" sheetId="5" r:id="rId9"/>
    <sheet name="Pensionados " sheetId="10" r:id="rId10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4" i="1" l="1"/>
  <c r="K39" i="2"/>
  <c r="K97" i="3"/>
  <c r="N44" i="4"/>
  <c r="P44" i="4" l="1"/>
  <c r="P97" i="3"/>
  <c r="H97" i="3"/>
  <c r="T381" i="8"/>
  <c r="T383" i="8" s="1"/>
  <c r="T385" i="8" s="1"/>
  <c r="T387" i="8" s="1"/>
  <c r="T389" i="8" s="1"/>
  <c r="F94" i="3"/>
  <c r="W379" i="8" l="1"/>
  <c r="W381" i="8" s="1"/>
  <c r="W383" i="8" s="1"/>
  <c r="W385" i="8" s="1"/>
  <c r="W387" i="8" s="1"/>
  <c r="W389" i="8" s="1"/>
  <c r="W391" i="8" s="1"/>
  <c r="N381" i="8"/>
  <c r="N383" i="8"/>
  <c r="N385" i="8" s="1"/>
  <c r="N387" i="8" s="1"/>
  <c r="N389" i="8" s="1"/>
  <c r="J25" i="3"/>
  <c r="I25" i="3"/>
  <c r="H25" i="3"/>
  <c r="G25" i="3"/>
  <c r="E25" i="3"/>
  <c r="Q379" i="8" l="1"/>
  <c r="Q381" i="8" s="1"/>
  <c r="Q383" i="8" s="1"/>
  <c r="Q385" i="8" s="1"/>
  <c r="Q387" i="8" s="1"/>
  <c r="Q389" i="8" s="1"/>
  <c r="Q391" i="8" s="1"/>
  <c r="F25" i="3" l="1"/>
  <c r="N94" i="9" l="1"/>
  <c r="N96" i="9" s="1"/>
  <c r="N98" i="9" s="1"/>
  <c r="N90" i="9"/>
  <c r="Q88" i="9" s="1"/>
  <c r="Q90" i="9" s="1"/>
  <c r="Q92" i="9" s="1"/>
  <c r="Q94" i="9" s="1"/>
  <c r="Q96" i="9" s="1"/>
  <c r="Q98" i="9" s="1"/>
  <c r="H90" i="9"/>
  <c r="K88" i="9" s="1"/>
  <c r="K90" i="9" s="1"/>
  <c r="K92" i="9" s="1"/>
  <c r="K94" i="9" s="1"/>
  <c r="K96" i="9" s="1"/>
  <c r="K98" i="9" s="1"/>
  <c r="K100" i="9" s="1"/>
  <c r="H94" i="9"/>
  <c r="H96" i="9" s="1"/>
  <c r="H98" i="9" s="1"/>
  <c r="B94" i="9"/>
  <c r="B96" i="9" s="1"/>
  <c r="B98" i="9" s="1"/>
  <c r="B90" i="9"/>
  <c r="E88" i="9" s="1"/>
  <c r="E90" i="9" s="1"/>
  <c r="E92" i="9" s="1"/>
  <c r="E94" i="9" s="1"/>
  <c r="E96" i="9" s="1"/>
  <c r="E98" i="9" s="1"/>
  <c r="E100" i="9" s="1"/>
  <c r="Q100" i="9" l="1"/>
  <c r="N7" i="4"/>
  <c r="O7" i="4" s="1"/>
  <c r="I7" i="4"/>
  <c r="E7" i="4"/>
  <c r="G7" i="4" l="1"/>
  <c r="J7" i="4" s="1"/>
  <c r="H381" i="8"/>
  <c r="H383" i="8" s="1"/>
  <c r="H385" i="8" s="1"/>
  <c r="H387" i="8" s="1"/>
  <c r="H389" i="8" s="1"/>
  <c r="B381" i="8"/>
  <c r="B383" i="8" s="1"/>
  <c r="B385" i="8" s="1"/>
  <c r="B387" i="8" s="1"/>
  <c r="B389" i="8" s="1"/>
  <c r="L7" i="4" l="1"/>
  <c r="P7" i="4" s="1"/>
  <c r="K379" i="8"/>
  <c r="K381" i="8" s="1"/>
  <c r="K383" i="8" s="1"/>
  <c r="K385" i="8" s="1"/>
  <c r="K387" i="8" s="1"/>
  <c r="K389" i="8" s="1"/>
  <c r="K391" i="8" s="1"/>
  <c r="E379" i="8"/>
  <c r="E381" i="8" s="1"/>
  <c r="E383" i="8" s="1"/>
  <c r="E385" i="8" s="1"/>
  <c r="E387" i="8" s="1"/>
  <c r="E389" i="8" s="1"/>
  <c r="E391" i="8" s="1"/>
  <c r="E49" i="3" l="1"/>
  <c r="N363" i="8"/>
  <c r="N365" i="8" s="1"/>
  <c r="N367" i="8" s="1"/>
  <c r="N369" i="8" s="1"/>
  <c r="N371" i="8" s="1"/>
  <c r="H363" i="8"/>
  <c r="H365" i="8" s="1"/>
  <c r="H367" i="8" s="1"/>
  <c r="H369" i="8" s="1"/>
  <c r="H371" i="8" s="1"/>
  <c r="Q361" i="8" l="1"/>
  <c r="Q363" i="8" s="1"/>
  <c r="Q365" i="8" s="1"/>
  <c r="Q367" i="8" s="1"/>
  <c r="Q369" i="8" s="1"/>
  <c r="Q371" i="8" s="1"/>
  <c r="Q373" i="8" s="1"/>
  <c r="K361" i="8"/>
  <c r="K363" i="8" s="1"/>
  <c r="K365" i="8" s="1"/>
  <c r="K367" i="8" s="1"/>
  <c r="K369" i="8" s="1"/>
  <c r="K371" i="8" s="1"/>
  <c r="K373" i="8" s="1"/>
  <c r="B363" i="8"/>
  <c r="B365" i="8" s="1"/>
  <c r="B367" i="8" s="1"/>
  <c r="B369" i="8" s="1"/>
  <c r="B371" i="8" s="1"/>
  <c r="F24" i="3"/>
  <c r="E361" i="8" l="1"/>
  <c r="E363" i="8" s="1"/>
  <c r="E365" i="8" s="1"/>
  <c r="E367" i="8" s="1"/>
  <c r="E369" i="8" s="1"/>
  <c r="E371" i="8" s="1"/>
  <c r="E373" i="8" s="1"/>
  <c r="T77" i="9"/>
  <c r="T79" i="9" s="1"/>
  <c r="T81" i="9" s="1"/>
  <c r="T73" i="9"/>
  <c r="W71" i="9" s="1"/>
  <c r="W73" i="9" s="1"/>
  <c r="W75" i="9" s="1"/>
  <c r="W77" i="9" s="1"/>
  <c r="W79" i="9" s="1"/>
  <c r="W81" i="9" s="1"/>
  <c r="W83" i="9" s="1"/>
  <c r="F25" i="4" l="1"/>
  <c r="E25" i="4"/>
  <c r="D19" i="5"/>
  <c r="K19" i="5"/>
  <c r="T39" i="10"/>
  <c r="W37" i="10" s="1"/>
  <c r="W39" i="10" s="1"/>
  <c r="W41" i="10" s="1"/>
  <c r="W43" i="10" s="1"/>
  <c r="W45" i="10" s="1"/>
  <c r="W47" i="10" s="1"/>
  <c r="T43" i="10"/>
  <c r="T45" i="10" s="1"/>
  <c r="T47" i="10" s="1"/>
  <c r="N39" i="10"/>
  <c r="Q37" i="10" s="1"/>
  <c r="Q39" i="10" s="1"/>
  <c r="Q41" i="10" s="1"/>
  <c r="Q43" i="10" s="1"/>
  <c r="Q45" i="10" s="1"/>
  <c r="Q47" i="10" s="1"/>
  <c r="N43" i="10"/>
  <c r="N45" i="10" s="1"/>
  <c r="N47" i="10" s="1"/>
  <c r="H39" i="10"/>
  <c r="K37" i="10" s="1"/>
  <c r="K39" i="10" s="1"/>
  <c r="K41" i="10" s="1"/>
  <c r="K43" i="10" s="1"/>
  <c r="K45" i="10" s="1"/>
  <c r="K47" i="10" s="1"/>
  <c r="H43" i="10"/>
  <c r="H45" i="10" s="1"/>
  <c r="H47" i="10" s="1"/>
  <c r="B39" i="10"/>
  <c r="B43" i="10"/>
  <c r="B45" i="10" s="1"/>
  <c r="B47" i="10" s="1"/>
  <c r="E37" i="10"/>
  <c r="E39" i="10" s="1"/>
  <c r="E41" i="10" s="1"/>
  <c r="E43" i="10" s="1"/>
  <c r="E45" i="10" s="1"/>
  <c r="E47" i="10" s="1"/>
  <c r="T22" i="10"/>
  <c r="W20" i="10" s="1"/>
  <c r="W22" i="10" s="1"/>
  <c r="W24" i="10" s="1"/>
  <c r="W26" i="10" s="1"/>
  <c r="W28" i="10" s="1"/>
  <c r="W30" i="10" s="1"/>
  <c r="T26" i="10"/>
  <c r="T28" i="10" s="1"/>
  <c r="T30" i="10" s="1"/>
  <c r="N22" i="10"/>
  <c r="Q20" i="10" s="1"/>
  <c r="Q22" i="10" s="1"/>
  <c r="Q24" i="10" s="1"/>
  <c r="Q26" i="10" s="1"/>
  <c r="Q28" i="10" s="1"/>
  <c r="Q30" i="10" s="1"/>
  <c r="N26" i="10"/>
  <c r="N28" i="10" s="1"/>
  <c r="N30" i="10" s="1"/>
  <c r="H22" i="10"/>
  <c r="K20" i="10" s="1"/>
  <c r="K22" i="10" s="1"/>
  <c r="K24" i="10" s="1"/>
  <c r="K26" i="10" s="1"/>
  <c r="K28" i="10" s="1"/>
  <c r="K30" i="10" s="1"/>
  <c r="K32" i="10" s="1"/>
  <c r="H26" i="10"/>
  <c r="H28" i="10" s="1"/>
  <c r="H30" i="10" s="1"/>
  <c r="B22" i="10"/>
  <c r="E20" i="10" s="1"/>
  <c r="E22" i="10" s="1"/>
  <c r="E24" i="10" s="1"/>
  <c r="E26" i="10" s="1"/>
  <c r="E28" i="10" s="1"/>
  <c r="E30" i="10" s="1"/>
  <c r="B26" i="10"/>
  <c r="B28" i="10" s="1"/>
  <c r="B30" i="10" s="1"/>
  <c r="T5" i="10"/>
  <c r="W3" i="10" s="1"/>
  <c r="T9" i="10"/>
  <c r="T11" i="10" s="1"/>
  <c r="T13" i="10" s="1"/>
  <c r="N5" i="10"/>
  <c r="Q3" i="10" s="1"/>
  <c r="N9" i="10"/>
  <c r="N11" i="10" s="1"/>
  <c r="N13" i="10" s="1"/>
  <c r="H5" i="10"/>
  <c r="K3" i="10" s="1"/>
  <c r="K5" i="10" s="1"/>
  <c r="K7" i="10" s="1"/>
  <c r="K9" i="10" s="1"/>
  <c r="K11" i="10" s="1"/>
  <c r="K13" i="10" s="1"/>
  <c r="H9" i="10"/>
  <c r="H11" i="10" s="1"/>
  <c r="H13" i="10" s="1"/>
  <c r="B5" i="10"/>
  <c r="E3" i="10" s="1"/>
  <c r="E5" i="10" s="1"/>
  <c r="E7" i="10" s="1"/>
  <c r="E9" i="10" s="1"/>
  <c r="E11" i="10" s="1"/>
  <c r="E13" i="10" s="1"/>
  <c r="B9" i="10"/>
  <c r="B11" i="10" s="1"/>
  <c r="B13" i="10" s="1"/>
  <c r="N18" i="5"/>
  <c r="O18" i="5" s="1"/>
  <c r="N17" i="5"/>
  <c r="O17" i="5" s="1"/>
  <c r="N16" i="5"/>
  <c r="O16" i="5" s="1"/>
  <c r="N6" i="5"/>
  <c r="O6" i="5" s="1"/>
  <c r="N7" i="5"/>
  <c r="O7" i="5" s="1"/>
  <c r="N8" i="5"/>
  <c r="O8" i="5" s="1"/>
  <c r="N9" i="5"/>
  <c r="O9" i="5" s="1"/>
  <c r="N10" i="5"/>
  <c r="O10" i="5" s="1"/>
  <c r="N11" i="5"/>
  <c r="O11" i="5" s="1"/>
  <c r="N12" i="5"/>
  <c r="O12" i="5" s="1"/>
  <c r="N13" i="5"/>
  <c r="O13" i="5" s="1"/>
  <c r="N5" i="5"/>
  <c r="O5" i="5" s="1"/>
  <c r="F13" i="5"/>
  <c r="G13" i="5" s="1"/>
  <c r="E13" i="5"/>
  <c r="D44" i="4"/>
  <c r="N79" i="9"/>
  <c r="N81" i="9" s="1"/>
  <c r="N77" i="9"/>
  <c r="N73" i="9"/>
  <c r="Q71" i="9" s="1"/>
  <c r="Q73" i="9" s="1"/>
  <c r="Q75" i="9" s="1"/>
  <c r="Q77" i="9" s="1"/>
  <c r="Q79" i="9" s="1"/>
  <c r="Q81" i="9" s="1"/>
  <c r="Q83" i="9" s="1"/>
  <c r="F41" i="4"/>
  <c r="H77" i="9"/>
  <c r="H79" i="9" s="1"/>
  <c r="H81" i="9" s="1"/>
  <c r="H73" i="9"/>
  <c r="K71" i="9" s="1"/>
  <c r="K73" i="9" s="1"/>
  <c r="K75" i="9" s="1"/>
  <c r="K77" i="9" s="1"/>
  <c r="K79" i="9" s="1"/>
  <c r="K81" i="9" s="1"/>
  <c r="K83" i="9" s="1"/>
  <c r="F42" i="4"/>
  <c r="I13" i="5" l="1"/>
  <c r="O19" i="5"/>
  <c r="H13" i="5"/>
  <c r="J13" i="5" s="1"/>
  <c r="N19" i="5"/>
  <c r="W49" i="10"/>
  <c r="Q49" i="10"/>
  <c r="K49" i="10"/>
  <c r="E49" i="10"/>
  <c r="W32" i="10"/>
  <c r="Q32" i="10"/>
  <c r="E32" i="10"/>
  <c r="W5" i="10"/>
  <c r="W7" i="10" s="1"/>
  <c r="W9" i="10" s="1"/>
  <c r="W11" i="10" s="1"/>
  <c r="W13" i="10" s="1"/>
  <c r="W15" i="10" s="1"/>
  <c r="Q5" i="10"/>
  <c r="Q7" i="10" s="1"/>
  <c r="Q9" i="10" s="1"/>
  <c r="Q11" i="10" s="1"/>
  <c r="Q13" i="10" s="1"/>
  <c r="Q15" i="10" s="1"/>
  <c r="K15" i="10"/>
  <c r="E15" i="10"/>
  <c r="B77" i="9"/>
  <c r="B79" i="9" s="1"/>
  <c r="B81" i="9" s="1"/>
  <c r="B73" i="9"/>
  <c r="E71" i="9"/>
  <c r="E73" i="9" s="1"/>
  <c r="E75" i="9" s="1"/>
  <c r="E77" i="9" s="1"/>
  <c r="E79" i="9" s="1"/>
  <c r="E81" i="9" s="1"/>
  <c r="E83" i="9" s="1"/>
  <c r="F43" i="4"/>
  <c r="G43" i="4" s="1"/>
  <c r="E43" i="4"/>
  <c r="N43" i="4"/>
  <c r="O43" i="4" s="1"/>
  <c r="T56" i="9"/>
  <c r="T58" i="9" s="1"/>
  <c r="T60" i="9" s="1"/>
  <c r="T62" i="9" s="1"/>
  <c r="T64" i="9" s="1"/>
  <c r="N56" i="9"/>
  <c r="N58" i="9" s="1"/>
  <c r="N60" i="9" s="1"/>
  <c r="N62" i="9" s="1"/>
  <c r="N64" i="9" s="1"/>
  <c r="H56" i="9"/>
  <c r="H58" i="9" s="1"/>
  <c r="H60" i="9" s="1"/>
  <c r="H62" i="9" s="1"/>
  <c r="H64" i="9" s="1"/>
  <c r="K54" i="9"/>
  <c r="K56" i="9" s="1"/>
  <c r="K58" i="9" s="1"/>
  <c r="K60" i="9" s="1"/>
  <c r="K62" i="9" s="1"/>
  <c r="K64" i="9" s="1"/>
  <c r="K66" i="9" s="1"/>
  <c r="B60" i="9"/>
  <c r="B62" i="9" s="1"/>
  <c r="B64" i="9" s="1"/>
  <c r="B56" i="9"/>
  <c r="E54" i="9"/>
  <c r="E56" i="9" s="1"/>
  <c r="E58" i="9" s="1"/>
  <c r="E60" i="9" s="1"/>
  <c r="E62" i="9" s="1"/>
  <c r="E64" i="9" s="1"/>
  <c r="E66" i="9" s="1"/>
  <c r="F26" i="4"/>
  <c r="G26" i="4" s="1"/>
  <c r="F24" i="4"/>
  <c r="I24" i="4" s="1"/>
  <c r="F23" i="4"/>
  <c r="T43" i="9"/>
  <c r="T45" i="9" s="1"/>
  <c r="T47" i="9" s="1"/>
  <c r="T39" i="9"/>
  <c r="W37" i="9"/>
  <c r="W39" i="9" s="1"/>
  <c r="W41" i="9" s="1"/>
  <c r="W43" i="9" s="1"/>
  <c r="W45" i="9" s="1"/>
  <c r="W47" i="9" s="1"/>
  <c r="W49" i="9" s="1"/>
  <c r="F22" i="4"/>
  <c r="N43" i="9"/>
  <c r="N45" i="9" s="1"/>
  <c r="N47" i="9" s="1"/>
  <c r="N39" i="9"/>
  <c r="Q37" i="9"/>
  <c r="Q39" i="9" s="1"/>
  <c r="Q41" i="9" s="1"/>
  <c r="Q43" i="9" s="1"/>
  <c r="Q45" i="9" s="1"/>
  <c r="Q47" i="9" s="1"/>
  <c r="Q49" i="9" s="1"/>
  <c r="F21" i="4"/>
  <c r="H43" i="9"/>
  <c r="H45" i="9" s="1"/>
  <c r="H47" i="9" s="1"/>
  <c r="H39" i="9"/>
  <c r="K37" i="9"/>
  <c r="K39" i="9" s="1"/>
  <c r="K41" i="9" s="1"/>
  <c r="K43" i="9" s="1"/>
  <c r="K45" i="9" s="1"/>
  <c r="K47" i="9" s="1"/>
  <c r="K49" i="9" s="1"/>
  <c r="F20" i="4"/>
  <c r="F19" i="4"/>
  <c r="B43" i="9"/>
  <c r="B45" i="9" s="1"/>
  <c r="B47" i="9" s="1"/>
  <c r="B39" i="9"/>
  <c r="E37" i="9"/>
  <c r="E39" i="9" s="1"/>
  <c r="E41" i="9" s="1"/>
  <c r="E43" i="9" s="1"/>
  <c r="E45" i="9" s="1"/>
  <c r="E47" i="9" s="1"/>
  <c r="E49" i="9" s="1"/>
  <c r="F18" i="4"/>
  <c r="T26" i="9"/>
  <c r="T28" i="9" s="1"/>
  <c r="T30" i="9" s="1"/>
  <c r="T22" i="9"/>
  <c r="W20" i="9"/>
  <c r="W22" i="9" s="1"/>
  <c r="W24" i="9" s="1"/>
  <c r="W26" i="9" s="1"/>
  <c r="W28" i="9" s="1"/>
  <c r="W30" i="9" s="1"/>
  <c r="W32" i="9" s="1"/>
  <c r="N28" i="9"/>
  <c r="N30" i="9" s="1"/>
  <c r="N26" i="9"/>
  <c r="N22" i="9"/>
  <c r="Q20" i="9" s="1"/>
  <c r="Q22" i="9" s="1"/>
  <c r="Q24" i="9" s="1"/>
  <c r="Q26" i="9" s="1"/>
  <c r="Q28" i="9" s="1"/>
  <c r="Q30" i="9" s="1"/>
  <c r="Q32" i="9" s="1"/>
  <c r="H26" i="9"/>
  <c r="H28" i="9" s="1"/>
  <c r="H30" i="9" s="1"/>
  <c r="H22" i="9"/>
  <c r="K20" i="9"/>
  <c r="K22" i="9" s="1"/>
  <c r="K24" i="9" s="1"/>
  <c r="K26" i="9" s="1"/>
  <c r="K28" i="9" s="1"/>
  <c r="K30" i="9" s="1"/>
  <c r="K32" i="9" s="1"/>
  <c r="B22" i="9"/>
  <c r="B26" i="9"/>
  <c r="B28" i="9" s="1"/>
  <c r="B30" i="9" s="1"/>
  <c r="E20" i="9"/>
  <c r="E22" i="9" s="1"/>
  <c r="E24" i="9" s="1"/>
  <c r="E26" i="9" s="1"/>
  <c r="E28" i="9" s="1"/>
  <c r="E30" i="9" s="1"/>
  <c r="E32" i="9" s="1"/>
  <c r="T5" i="9"/>
  <c r="W3" i="9" s="1"/>
  <c r="W5" i="9" s="1"/>
  <c r="W7" i="9" s="1"/>
  <c r="W9" i="9" s="1"/>
  <c r="W11" i="9" s="1"/>
  <c r="W13" i="9" s="1"/>
  <c r="T9" i="9"/>
  <c r="T11" i="9" s="1"/>
  <c r="T13" i="9" s="1"/>
  <c r="N5" i="9"/>
  <c r="N9" i="9" s="1"/>
  <c r="N11" i="9" s="1"/>
  <c r="N13" i="9" s="1"/>
  <c r="H5" i="9"/>
  <c r="K3" i="9" s="1"/>
  <c r="K5" i="9" s="1"/>
  <c r="K7" i="9" s="1"/>
  <c r="K9" i="9" s="1"/>
  <c r="K11" i="9" s="1"/>
  <c r="K13" i="9" s="1"/>
  <c r="K15" i="9" s="1"/>
  <c r="H7" i="9"/>
  <c r="H9" i="9" s="1"/>
  <c r="H11" i="9" s="1"/>
  <c r="H13" i="9" s="1"/>
  <c r="N5" i="4"/>
  <c r="O5" i="4" s="1"/>
  <c r="N6" i="4"/>
  <c r="O6" i="4" s="1"/>
  <c r="N10" i="4"/>
  <c r="O10" i="4" s="1"/>
  <c r="N11" i="4"/>
  <c r="O11" i="4" s="1"/>
  <c r="N12" i="4"/>
  <c r="O12" i="4" s="1"/>
  <c r="N13" i="4"/>
  <c r="O13" i="4" s="1"/>
  <c r="N14" i="4"/>
  <c r="O14" i="4" s="1"/>
  <c r="N15" i="4"/>
  <c r="O15" i="4" s="1"/>
  <c r="N16" i="4"/>
  <c r="O16" i="4" s="1"/>
  <c r="N17" i="4"/>
  <c r="O17" i="4" s="1"/>
  <c r="N18" i="4"/>
  <c r="O18" i="4" s="1"/>
  <c r="N19" i="4"/>
  <c r="O19" i="4" s="1"/>
  <c r="N20" i="4"/>
  <c r="O20" i="4" s="1"/>
  <c r="N21" i="4"/>
  <c r="O21" i="4" s="1"/>
  <c r="N22" i="4"/>
  <c r="O22" i="4" s="1"/>
  <c r="N23" i="4"/>
  <c r="O23" i="4" s="1"/>
  <c r="N24" i="4"/>
  <c r="O24" i="4" s="1"/>
  <c r="N25" i="4"/>
  <c r="N26" i="4"/>
  <c r="O26" i="4" s="1"/>
  <c r="N27" i="4"/>
  <c r="O27" i="4" s="1"/>
  <c r="N30" i="4"/>
  <c r="O30" i="4" s="1"/>
  <c r="N31" i="4"/>
  <c r="O31" i="4" s="1"/>
  <c r="N32" i="4"/>
  <c r="O32" i="4" s="1"/>
  <c r="N35" i="4"/>
  <c r="O35" i="4" s="1"/>
  <c r="N36" i="4"/>
  <c r="O36" i="4" s="1"/>
  <c r="N37" i="4"/>
  <c r="O37" i="4" s="1"/>
  <c r="N38" i="4"/>
  <c r="O38" i="4" s="1"/>
  <c r="N39" i="4"/>
  <c r="O39" i="4" s="1"/>
  <c r="N40" i="4"/>
  <c r="O40" i="4" s="1"/>
  <c r="N41" i="4"/>
  <c r="O41" i="4" s="1"/>
  <c r="N42" i="4"/>
  <c r="O42" i="4" s="1"/>
  <c r="N4" i="4"/>
  <c r="O4" i="4" s="1"/>
  <c r="N4" i="3"/>
  <c r="O4" i="3" s="1"/>
  <c r="B5" i="9"/>
  <c r="B7" i="9" s="1"/>
  <c r="B9" i="9" s="1"/>
  <c r="B11" i="9" s="1"/>
  <c r="B13" i="9" s="1"/>
  <c r="D97" i="3"/>
  <c r="N345" i="8"/>
  <c r="N347" i="8" s="1"/>
  <c r="N349" i="8" s="1"/>
  <c r="N351" i="8" s="1"/>
  <c r="N353" i="8" s="1"/>
  <c r="H345" i="8"/>
  <c r="H347" i="8" s="1"/>
  <c r="H349" i="8" s="1"/>
  <c r="H351" i="8" s="1"/>
  <c r="H353" i="8" s="1"/>
  <c r="B345" i="8"/>
  <c r="B347" i="8" s="1"/>
  <c r="B349" i="8" s="1"/>
  <c r="B351" i="8" s="1"/>
  <c r="B353" i="8" s="1"/>
  <c r="T328" i="8"/>
  <c r="T330" i="8"/>
  <c r="T332" i="8" s="1"/>
  <c r="T334" i="8" s="1"/>
  <c r="T336" i="8" s="1"/>
  <c r="W326" i="8"/>
  <c r="W328" i="8" s="1"/>
  <c r="W330" i="8" s="1"/>
  <c r="W332" i="8" s="1"/>
  <c r="W334" i="8" s="1"/>
  <c r="W336" i="8" s="1"/>
  <c r="N328" i="8"/>
  <c r="N330" i="8" s="1"/>
  <c r="N332" i="8" s="1"/>
  <c r="N334" i="8" s="1"/>
  <c r="N336" i="8" s="1"/>
  <c r="H328" i="8"/>
  <c r="H330" i="8" s="1"/>
  <c r="H332" i="8" s="1"/>
  <c r="H334" i="8" s="1"/>
  <c r="H336" i="8" s="1"/>
  <c r="B328" i="8"/>
  <c r="B330" i="8" s="1"/>
  <c r="B332" i="8" s="1"/>
  <c r="B334" i="8" s="1"/>
  <c r="B336" i="8" s="1"/>
  <c r="T311" i="8"/>
  <c r="T313" i="8" s="1"/>
  <c r="T315" i="8" s="1"/>
  <c r="T317" i="8" s="1"/>
  <c r="T319" i="8" s="1"/>
  <c r="W309" i="8"/>
  <c r="W311" i="8" s="1"/>
  <c r="W313" i="8" s="1"/>
  <c r="W315" i="8" s="1"/>
  <c r="W317" i="8" s="1"/>
  <c r="W319" i="8" s="1"/>
  <c r="W321" i="8" s="1"/>
  <c r="N311" i="8"/>
  <c r="N313" i="8" s="1"/>
  <c r="N315" i="8" s="1"/>
  <c r="N317" i="8" s="1"/>
  <c r="N319" i="8" s="1"/>
  <c r="H311" i="8"/>
  <c r="H313" i="8" s="1"/>
  <c r="H315" i="8" s="1"/>
  <c r="H317" i="8" s="1"/>
  <c r="H319" i="8" s="1"/>
  <c r="B311" i="8"/>
  <c r="E309" i="8" s="1"/>
  <c r="E311" i="8" s="1"/>
  <c r="E313" i="8" s="1"/>
  <c r="E315" i="8" s="1"/>
  <c r="E317" i="8" s="1"/>
  <c r="E319" i="8" s="1"/>
  <c r="B313" i="8"/>
  <c r="B315" i="8" s="1"/>
  <c r="B317" i="8" s="1"/>
  <c r="B319" i="8" s="1"/>
  <c r="T294" i="8"/>
  <c r="T296" i="8" s="1"/>
  <c r="T298" i="8" s="1"/>
  <c r="T300" i="8" s="1"/>
  <c r="T302" i="8" s="1"/>
  <c r="N294" i="8"/>
  <c r="N296" i="8" s="1"/>
  <c r="N298" i="8" s="1"/>
  <c r="N300" i="8" s="1"/>
  <c r="N302" i="8" s="1"/>
  <c r="H294" i="8"/>
  <c r="H296" i="8" s="1"/>
  <c r="H298" i="8" s="1"/>
  <c r="H300" i="8" s="1"/>
  <c r="H302" i="8" s="1"/>
  <c r="B294" i="8"/>
  <c r="B296" i="8" s="1"/>
  <c r="B298" i="8" s="1"/>
  <c r="B300" i="8" s="1"/>
  <c r="B302" i="8" s="1"/>
  <c r="T277" i="8"/>
  <c r="T279" i="8" s="1"/>
  <c r="T281" i="8" s="1"/>
  <c r="T283" i="8" s="1"/>
  <c r="T285" i="8" s="1"/>
  <c r="N277" i="8"/>
  <c r="N279" i="8" s="1"/>
  <c r="N281" i="8" s="1"/>
  <c r="N283" i="8" s="1"/>
  <c r="N285" i="8" s="1"/>
  <c r="H277" i="8"/>
  <c r="K275" i="8" s="1"/>
  <c r="K277" i="8" s="1"/>
  <c r="K279" i="8" s="1"/>
  <c r="K281" i="8" s="1"/>
  <c r="K283" i="8" s="1"/>
  <c r="K285" i="8" s="1"/>
  <c r="H279" i="8"/>
  <c r="H281" i="8" s="1"/>
  <c r="H283" i="8" s="1"/>
  <c r="H285" i="8" s="1"/>
  <c r="B277" i="8"/>
  <c r="B279" i="8" s="1"/>
  <c r="B281" i="8" s="1"/>
  <c r="B283" i="8" s="1"/>
  <c r="B285" i="8" s="1"/>
  <c r="T260" i="8"/>
  <c r="T262" i="8" s="1"/>
  <c r="T264" i="8" s="1"/>
  <c r="T266" i="8" s="1"/>
  <c r="T268" i="8" s="1"/>
  <c r="N260" i="8"/>
  <c r="N262" i="8" s="1"/>
  <c r="N264" i="8" s="1"/>
  <c r="N266" i="8" s="1"/>
  <c r="N268" i="8" s="1"/>
  <c r="H260" i="8"/>
  <c r="H262" i="8"/>
  <c r="H264" i="8" s="1"/>
  <c r="H266" i="8" s="1"/>
  <c r="H268" i="8" s="1"/>
  <c r="B264" i="8"/>
  <c r="B260" i="8"/>
  <c r="B262" i="8" s="1"/>
  <c r="B266" i="8" s="1"/>
  <c r="B268" i="8" s="1"/>
  <c r="T243" i="8"/>
  <c r="T245" i="8" s="1"/>
  <c r="T247" i="8" s="1"/>
  <c r="T249" i="8" s="1"/>
  <c r="T251" i="8" s="1"/>
  <c r="N243" i="8"/>
  <c r="N245" i="8" s="1"/>
  <c r="N247" i="8" s="1"/>
  <c r="N249" i="8" s="1"/>
  <c r="N251" i="8" s="1"/>
  <c r="H243" i="8"/>
  <c r="K241" i="8" s="1"/>
  <c r="K243" i="8" s="1"/>
  <c r="K245" i="8" s="1"/>
  <c r="K247" i="8" s="1"/>
  <c r="K249" i="8" s="1"/>
  <c r="K251" i="8" s="1"/>
  <c r="K253" i="8" s="1"/>
  <c r="H245" i="8"/>
  <c r="H247" i="8" s="1"/>
  <c r="H249" i="8" s="1"/>
  <c r="H251" i="8" s="1"/>
  <c r="B243" i="8"/>
  <c r="B245" i="8"/>
  <c r="B247" i="8" s="1"/>
  <c r="B249" i="8" s="1"/>
  <c r="B251" i="8" s="1"/>
  <c r="E241" i="8"/>
  <c r="E243" i="8" s="1"/>
  <c r="E245" i="8" s="1"/>
  <c r="E247" i="8" s="1"/>
  <c r="E249" i="8" s="1"/>
  <c r="E251" i="8" s="1"/>
  <c r="E253" i="8" s="1"/>
  <c r="T226" i="8"/>
  <c r="T228" i="8" s="1"/>
  <c r="T230" i="8" s="1"/>
  <c r="T232" i="8" s="1"/>
  <c r="T234" i="8" s="1"/>
  <c r="N226" i="8"/>
  <c r="N228" i="8"/>
  <c r="N230" i="8" s="1"/>
  <c r="N232" i="8" s="1"/>
  <c r="N234" i="8" s="1"/>
  <c r="H226" i="8"/>
  <c r="H228" i="8" s="1"/>
  <c r="H230" i="8" s="1"/>
  <c r="H232" i="8" s="1"/>
  <c r="H234" i="8" s="1"/>
  <c r="B226" i="8"/>
  <c r="E224" i="8" s="1"/>
  <c r="E226" i="8" s="1"/>
  <c r="E228" i="8" s="1"/>
  <c r="E230" i="8" s="1"/>
  <c r="E232" i="8" s="1"/>
  <c r="E234" i="8" s="1"/>
  <c r="E236" i="8" s="1"/>
  <c r="B228" i="8"/>
  <c r="B230" i="8" s="1"/>
  <c r="B232" i="8" s="1"/>
  <c r="B234" i="8" s="1"/>
  <c r="T209" i="8"/>
  <c r="T211" i="8" s="1"/>
  <c r="T213" i="8" s="1"/>
  <c r="T215" i="8" s="1"/>
  <c r="T217" i="8" s="1"/>
  <c r="N209" i="8"/>
  <c r="N211" i="8" s="1"/>
  <c r="N213" i="8" s="1"/>
  <c r="N215" i="8" s="1"/>
  <c r="N217" i="8" s="1"/>
  <c r="H209" i="8"/>
  <c r="H211" i="8" s="1"/>
  <c r="H213" i="8" s="1"/>
  <c r="H215" i="8" s="1"/>
  <c r="H217" i="8" s="1"/>
  <c r="B209" i="8"/>
  <c r="B211" i="8" s="1"/>
  <c r="B213" i="8" s="1"/>
  <c r="B215" i="8" s="1"/>
  <c r="B217" i="8" s="1"/>
  <c r="T192" i="8"/>
  <c r="T194" i="8" s="1"/>
  <c r="T196" i="8" s="1"/>
  <c r="T198" i="8" s="1"/>
  <c r="T200" i="8" s="1"/>
  <c r="N192" i="8"/>
  <c r="N194" i="8" s="1"/>
  <c r="N196" i="8" s="1"/>
  <c r="N198" i="8" s="1"/>
  <c r="N200" i="8" s="1"/>
  <c r="H192" i="8"/>
  <c r="H194" i="8" s="1"/>
  <c r="H196" i="8" s="1"/>
  <c r="H198" i="8" s="1"/>
  <c r="H200" i="8" s="1"/>
  <c r="B192" i="8"/>
  <c r="B194" i="8" s="1"/>
  <c r="B196" i="8" s="1"/>
  <c r="B198" i="8" s="1"/>
  <c r="B200" i="8" s="1"/>
  <c r="T175" i="8"/>
  <c r="T177" i="8" s="1"/>
  <c r="T179" i="8" s="1"/>
  <c r="T181" i="8" s="1"/>
  <c r="T183" i="8" s="1"/>
  <c r="N175" i="8"/>
  <c r="N177" i="8" s="1"/>
  <c r="N179" i="8" s="1"/>
  <c r="N181" i="8" s="1"/>
  <c r="N183" i="8" s="1"/>
  <c r="H175" i="8"/>
  <c r="H177" i="8" s="1"/>
  <c r="H179" i="8" s="1"/>
  <c r="H181" i="8" s="1"/>
  <c r="H183" i="8" s="1"/>
  <c r="B175" i="8"/>
  <c r="B177" i="8" s="1"/>
  <c r="B179" i="8" s="1"/>
  <c r="B181" i="8" s="1"/>
  <c r="B183" i="8" s="1"/>
  <c r="T158" i="8"/>
  <c r="T160" i="8" s="1"/>
  <c r="T162" i="8" s="1"/>
  <c r="T164" i="8" s="1"/>
  <c r="T166" i="8" s="1"/>
  <c r="W156" i="8"/>
  <c r="W158" i="8" s="1"/>
  <c r="W160" i="8" s="1"/>
  <c r="W162" i="8" s="1"/>
  <c r="W164" i="8" s="1"/>
  <c r="W166" i="8" s="1"/>
  <c r="W168" i="8" s="1"/>
  <c r="N158" i="8"/>
  <c r="N160" i="8" s="1"/>
  <c r="N162" i="8" s="1"/>
  <c r="N164" i="8" s="1"/>
  <c r="N166" i="8" s="1"/>
  <c r="N49" i="3"/>
  <c r="O49" i="3" s="1"/>
  <c r="H158" i="8"/>
  <c r="H160" i="8" s="1"/>
  <c r="H162" i="8" s="1"/>
  <c r="H164" i="8" s="1"/>
  <c r="H166" i="8" s="1"/>
  <c r="B158" i="8"/>
  <c r="B160" i="8" s="1"/>
  <c r="B162" i="8" s="1"/>
  <c r="B164" i="8" s="1"/>
  <c r="B166" i="8" s="1"/>
  <c r="F48" i="3"/>
  <c r="F11" i="2"/>
  <c r="F21" i="3"/>
  <c r="F40" i="3"/>
  <c r="T141" i="8"/>
  <c r="T143" i="8" s="1"/>
  <c r="T145" i="8" s="1"/>
  <c r="T147" i="8" s="1"/>
  <c r="T149" i="8" s="1"/>
  <c r="N141" i="8"/>
  <c r="N143" i="8" s="1"/>
  <c r="N145" i="8" s="1"/>
  <c r="N147" i="8" s="1"/>
  <c r="N149" i="8" s="1"/>
  <c r="H141" i="8"/>
  <c r="H143" i="8" s="1"/>
  <c r="H145" i="8" s="1"/>
  <c r="H147" i="8" s="1"/>
  <c r="H149" i="8" s="1"/>
  <c r="B141" i="8"/>
  <c r="B143" i="8" s="1"/>
  <c r="B145" i="8" s="1"/>
  <c r="B147" i="8" s="1"/>
  <c r="B149" i="8" s="1"/>
  <c r="E139" i="8"/>
  <c r="E141" i="8" s="1"/>
  <c r="E143" i="8" s="1"/>
  <c r="E145" i="8" s="1"/>
  <c r="E147" i="8" s="1"/>
  <c r="E149" i="8" s="1"/>
  <c r="T124" i="8"/>
  <c r="T126" i="8" s="1"/>
  <c r="T128" i="8" s="1"/>
  <c r="T130" i="8" s="1"/>
  <c r="T132" i="8" s="1"/>
  <c r="N124" i="8"/>
  <c r="N126" i="8" s="1"/>
  <c r="N128" i="8" s="1"/>
  <c r="N130" i="8" s="1"/>
  <c r="N132" i="8" s="1"/>
  <c r="Q122" i="8"/>
  <c r="Q124" i="8" s="1"/>
  <c r="Q126" i="8" s="1"/>
  <c r="Q128" i="8" s="1"/>
  <c r="Q130" i="8" s="1"/>
  <c r="Q132" i="8" s="1"/>
  <c r="Q134" i="8" s="1"/>
  <c r="F39" i="3"/>
  <c r="H124" i="8"/>
  <c r="H126" i="8" s="1"/>
  <c r="H128" i="8" s="1"/>
  <c r="H130" i="8" s="1"/>
  <c r="H132" i="8" s="1"/>
  <c r="K122" i="8"/>
  <c r="K124" i="8" s="1"/>
  <c r="K126" i="8" s="1"/>
  <c r="K128" i="8" s="1"/>
  <c r="K130" i="8" s="1"/>
  <c r="K132" i="8" s="1"/>
  <c r="K134" i="8" s="1"/>
  <c r="E134" i="8"/>
  <c r="B124" i="8"/>
  <c r="B126" i="8" s="1"/>
  <c r="B128" i="8" s="1"/>
  <c r="B130" i="8" s="1"/>
  <c r="B132" i="8" s="1"/>
  <c r="E122" i="8"/>
  <c r="E124" i="8" s="1"/>
  <c r="E126" i="8" s="1"/>
  <c r="E128" i="8" s="1"/>
  <c r="E130" i="8" s="1"/>
  <c r="E132" i="8" s="1"/>
  <c r="F38" i="3"/>
  <c r="G38" i="3" s="1"/>
  <c r="T107" i="8"/>
  <c r="T109" i="8" s="1"/>
  <c r="T111" i="8" s="1"/>
  <c r="T113" i="8" s="1"/>
  <c r="T115" i="8" s="1"/>
  <c r="N107" i="8"/>
  <c r="N109" i="8"/>
  <c r="N111" i="8" s="1"/>
  <c r="N113" i="8" s="1"/>
  <c r="N115" i="8" s="1"/>
  <c r="Q107" i="8"/>
  <c r="Q109" i="8" s="1"/>
  <c r="Q111" i="8" s="1"/>
  <c r="Q113" i="8" s="1"/>
  <c r="Q115" i="8" s="1"/>
  <c r="Q117" i="8" s="1"/>
  <c r="Q105" i="8"/>
  <c r="H107" i="8"/>
  <c r="H109" i="8" s="1"/>
  <c r="H111" i="8" s="1"/>
  <c r="H113" i="8" s="1"/>
  <c r="H115" i="8" s="1"/>
  <c r="B107" i="8"/>
  <c r="B109" i="8" s="1"/>
  <c r="B111" i="8" s="1"/>
  <c r="B113" i="8" s="1"/>
  <c r="B115" i="8" s="1"/>
  <c r="F34" i="3"/>
  <c r="T90" i="8"/>
  <c r="T92" i="8" s="1"/>
  <c r="T94" i="8" s="1"/>
  <c r="T96" i="8" s="1"/>
  <c r="T98" i="8" s="1"/>
  <c r="N92" i="8"/>
  <c r="N94" i="8" s="1"/>
  <c r="N96" i="8" s="1"/>
  <c r="N98" i="8" s="1"/>
  <c r="Q90" i="8"/>
  <c r="Q92" i="8" s="1"/>
  <c r="Q94" i="8" s="1"/>
  <c r="Q96" i="8" s="1"/>
  <c r="Q98" i="8" s="1"/>
  <c r="Q100" i="8" s="1"/>
  <c r="N90" i="8"/>
  <c r="Q88" i="8"/>
  <c r="H90" i="8"/>
  <c r="H92" i="8" s="1"/>
  <c r="H94" i="8" s="1"/>
  <c r="H96" i="8" s="1"/>
  <c r="H98" i="8" s="1"/>
  <c r="B90" i="8"/>
  <c r="B92" i="8" s="1"/>
  <c r="B94" i="8" s="1"/>
  <c r="B96" i="8" s="1"/>
  <c r="B98" i="8" s="1"/>
  <c r="E88" i="8"/>
  <c r="E90" i="8" s="1"/>
  <c r="E92" i="8" s="1"/>
  <c r="E94" i="8" s="1"/>
  <c r="E96" i="8" s="1"/>
  <c r="E98" i="8" s="1"/>
  <c r="E100" i="8" s="1"/>
  <c r="W73" i="8"/>
  <c r="T73" i="8"/>
  <c r="T75" i="8" s="1"/>
  <c r="T77" i="8" s="1"/>
  <c r="T79" i="8" s="1"/>
  <c r="T81" i="8" s="1"/>
  <c r="N73" i="8"/>
  <c r="N75" i="8"/>
  <c r="N77" i="8" s="1"/>
  <c r="N79" i="8" s="1"/>
  <c r="N81" i="8" s="1"/>
  <c r="H73" i="8"/>
  <c r="H75" i="8" s="1"/>
  <c r="H77" i="8" s="1"/>
  <c r="H79" i="8" s="1"/>
  <c r="H81" i="8" s="1"/>
  <c r="K71" i="8"/>
  <c r="K73" i="8" s="1"/>
  <c r="K75" i="8" s="1"/>
  <c r="K77" i="8" s="1"/>
  <c r="K79" i="8" s="1"/>
  <c r="K81" i="8" s="1"/>
  <c r="K83" i="8" s="1"/>
  <c r="B73" i="8"/>
  <c r="B75" i="8" s="1"/>
  <c r="B77" i="8" s="1"/>
  <c r="B79" i="8" s="1"/>
  <c r="B81" i="8" s="1"/>
  <c r="T56" i="8"/>
  <c r="T58" i="8" s="1"/>
  <c r="T60" i="8" s="1"/>
  <c r="T62" i="8" s="1"/>
  <c r="T64" i="8" s="1"/>
  <c r="N56" i="8"/>
  <c r="Q54" i="8" s="1"/>
  <c r="Q56" i="8" s="1"/>
  <c r="Q58" i="8" s="1"/>
  <c r="Q60" i="8" s="1"/>
  <c r="Q62" i="8" s="1"/>
  <c r="Q64" i="8" s="1"/>
  <c r="Q66" i="8" s="1"/>
  <c r="F22" i="3"/>
  <c r="E21" i="3"/>
  <c r="N58" i="8"/>
  <c r="N60" i="8" s="1"/>
  <c r="N62" i="8" s="1"/>
  <c r="N64" i="8" s="1"/>
  <c r="H56" i="8"/>
  <c r="H58" i="8" s="1"/>
  <c r="H60" i="8" s="1"/>
  <c r="H62" i="8" s="1"/>
  <c r="H64" i="8" s="1"/>
  <c r="B56" i="8"/>
  <c r="B58" i="8" s="1"/>
  <c r="B60" i="8" s="1"/>
  <c r="B62" i="8" s="1"/>
  <c r="B64" i="8" s="1"/>
  <c r="T39" i="8"/>
  <c r="T41" i="8" s="1"/>
  <c r="T43" i="8" s="1"/>
  <c r="T45" i="8" s="1"/>
  <c r="T47" i="8" s="1"/>
  <c r="F19" i="3"/>
  <c r="N39" i="8"/>
  <c r="N41" i="8" s="1"/>
  <c r="N43" i="8" s="1"/>
  <c r="N45" i="8" s="1"/>
  <c r="N47" i="8" s="1"/>
  <c r="Q37" i="8"/>
  <c r="Q39" i="8" s="1"/>
  <c r="Q41" i="8" s="1"/>
  <c r="Q43" i="8" s="1"/>
  <c r="Q45" i="8" s="1"/>
  <c r="Q47" i="8" s="1"/>
  <c r="H39" i="8"/>
  <c r="H41" i="8" s="1"/>
  <c r="H43" i="8" s="1"/>
  <c r="H45" i="8" s="1"/>
  <c r="H47" i="8" s="1"/>
  <c r="F15" i="3"/>
  <c r="B39" i="8"/>
  <c r="B41" i="8" s="1"/>
  <c r="B43" i="8" s="1"/>
  <c r="B45" i="8" s="1"/>
  <c r="B47" i="8" s="1"/>
  <c r="T22" i="8"/>
  <c r="T24" i="8" s="1"/>
  <c r="T26" i="8" s="1"/>
  <c r="T28" i="8" s="1"/>
  <c r="T30" i="8" s="1"/>
  <c r="N22" i="8"/>
  <c r="N24" i="8" s="1"/>
  <c r="N26" i="8" s="1"/>
  <c r="N28" i="8" s="1"/>
  <c r="N30" i="8" s="1"/>
  <c r="H22" i="8"/>
  <c r="H24" i="8" s="1"/>
  <c r="H26" i="8" s="1"/>
  <c r="H28" i="8" s="1"/>
  <c r="H30" i="8" s="1"/>
  <c r="K20" i="8"/>
  <c r="K22" i="8" s="1"/>
  <c r="K24" i="8" s="1"/>
  <c r="K26" i="8" s="1"/>
  <c r="K28" i="8" s="1"/>
  <c r="K30" i="8" s="1"/>
  <c r="K32" i="8" s="1"/>
  <c r="F10" i="3"/>
  <c r="B22" i="8"/>
  <c r="B24" i="8" s="1"/>
  <c r="B26" i="8" s="1"/>
  <c r="B28" i="8" s="1"/>
  <c r="B30" i="8" s="1"/>
  <c r="T5" i="8"/>
  <c r="T7" i="8" s="1"/>
  <c r="T9" i="8" s="1"/>
  <c r="T11" i="8" s="1"/>
  <c r="T13" i="8" s="1"/>
  <c r="F9" i="3"/>
  <c r="I9" i="3" s="1"/>
  <c r="N5" i="8"/>
  <c r="N7" i="8" s="1"/>
  <c r="N9" i="8" s="1"/>
  <c r="N11" i="8" s="1"/>
  <c r="N13" i="8" s="1"/>
  <c r="H7" i="8"/>
  <c r="H9" i="8" s="1"/>
  <c r="H11" i="8" s="1"/>
  <c r="H13" i="8" s="1"/>
  <c r="H5" i="8"/>
  <c r="K3" i="8"/>
  <c r="K5" i="8" s="1"/>
  <c r="K7" i="8" s="1"/>
  <c r="K9" i="8" s="1"/>
  <c r="K11" i="8" s="1"/>
  <c r="K13" i="8" s="1"/>
  <c r="K15" i="8" s="1"/>
  <c r="B5" i="8"/>
  <c r="E3" i="8" s="1"/>
  <c r="E5" i="8" s="1"/>
  <c r="E7" i="8" s="1"/>
  <c r="E9" i="8" s="1"/>
  <c r="E11" i="8" s="1"/>
  <c r="E13" i="8" s="1"/>
  <c r="E15" i="8" s="1"/>
  <c r="B7" i="8"/>
  <c r="B9" i="8" s="1"/>
  <c r="B11" i="8" s="1"/>
  <c r="B13" i="8" s="1"/>
  <c r="O90" i="3"/>
  <c r="N5" i="3"/>
  <c r="O5" i="3" s="1"/>
  <c r="N6" i="3"/>
  <c r="O6" i="3" s="1"/>
  <c r="N9" i="3"/>
  <c r="O9" i="3" s="1"/>
  <c r="N10" i="3"/>
  <c r="O10" i="3" s="1"/>
  <c r="N11" i="3"/>
  <c r="O11" i="3" s="1"/>
  <c r="N12" i="3"/>
  <c r="O12" i="3" s="1"/>
  <c r="N13" i="3"/>
  <c r="O13" i="3" s="1"/>
  <c r="N14" i="3"/>
  <c r="O14" i="3" s="1"/>
  <c r="N15" i="3"/>
  <c r="O15" i="3" s="1"/>
  <c r="N18" i="3"/>
  <c r="O18" i="3" s="1"/>
  <c r="N19" i="3"/>
  <c r="O19" i="3" s="1"/>
  <c r="N20" i="3"/>
  <c r="O20" i="3" s="1"/>
  <c r="N21" i="3"/>
  <c r="O21" i="3" s="1"/>
  <c r="N22" i="3"/>
  <c r="O22" i="3" s="1"/>
  <c r="N23" i="3"/>
  <c r="O23" i="3" s="1"/>
  <c r="N24" i="3"/>
  <c r="O24" i="3" s="1"/>
  <c r="N26" i="3"/>
  <c r="O26" i="3" s="1"/>
  <c r="N27" i="3"/>
  <c r="O27" i="3" s="1"/>
  <c r="N28" i="3"/>
  <c r="O28" i="3" s="1"/>
  <c r="N29" i="3"/>
  <c r="O29" i="3" s="1"/>
  <c r="N30" i="3"/>
  <c r="O30" i="3" s="1"/>
  <c r="N31" i="3"/>
  <c r="O31" i="3" s="1"/>
  <c r="N32" i="3"/>
  <c r="O32" i="3" s="1"/>
  <c r="N33" i="3"/>
  <c r="O33" i="3" s="1"/>
  <c r="N34" i="3"/>
  <c r="O34" i="3" s="1"/>
  <c r="N35" i="3"/>
  <c r="O35" i="3" s="1"/>
  <c r="N36" i="3"/>
  <c r="O36" i="3" s="1"/>
  <c r="N37" i="3"/>
  <c r="O37" i="3" s="1"/>
  <c r="N38" i="3"/>
  <c r="O38" i="3" s="1"/>
  <c r="N39" i="3"/>
  <c r="O39" i="3" s="1"/>
  <c r="N40" i="3"/>
  <c r="O40" i="3" s="1"/>
  <c r="N41" i="3"/>
  <c r="O41" i="3" s="1"/>
  <c r="N42" i="3"/>
  <c r="O42" i="3" s="1"/>
  <c r="N43" i="3"/>
  <c r="O43" i="3" s="1"/>
  <c r="N44" i="3"/>
  <c r="O44" i="3" s="1"/>
  <c r="N45" i="3"/>
  <c r="O45" i="3" s="1"/>
  <c r="N48" i="3"/>
  <c r="O48" i="3" s="1"/>
  <c r="N50" i="3"/>
  <c r="O50" i="3" s="1"/>
  <c r="N51" i="3"/>
  <c r="O51" i="3" s="1"/>
  <c r="N52" i="3"/>
  <c r="O52" i="3" s="1"/>
  <c r="N53" i="3"/>
  <c r="O53" i="3" s="1"/>
  <c r="N54" i="3"/>
  <c r="O54" i="3" s="1"/>
  <c r="N55" i="3"/>
  <c r="O55" i="3" s="1"/>
  <c r="N56" i="3"/>
  <c r="O56" i="3" s="1"/>
  <c r="N57" i="3"/>
  <c r="O57" i="3" s="1"/>
  <c r="N58" i="3"/>
  <c r="O58" i="3" s="1"/>
  <c r="N59" i="3"/>
  <c r="O59" i="3" s="1"/>
  <c r="N60" i="3"/>
  <c r="O60" i="3" s="1"/>
  <c r="N61" i="3"/>
  <c r="O61" i="3" s="1"/>
  <c r="N62" i="3"/>
  <c r="O62" i="3" s="1"/>
  <c r="N63" i="3"/>
  <c r="O63" i="3" s="1"/>
  <c r="N64" i="3"/>
  <c r="O64" i="3" s="1"/>
  <c r="N65" i="3"/>
  <c r="O65" i="3" s="1"/>
  <c r="N66" i="3"/>
  <c r="O66" i="3" s="1"/>
  <c r="N67" i="3"/>
  <c r="O67" i="3" s="1"/>
  <c r="N68" i="3"/>
  <c r="O68" i="3" s="1"/>
  <c r="N69" i="3"/>
  <c r="O69" i="3" s="1"/>
  <c r="N70" i="3"/>
  <c r="O70" i="3" s="1"/>
  <c r="N71" i="3"/>
  <c r="O71" i="3" s="1"/>
  <c r="N72" i="3"/>
  <c r="O72" i="3" s="1"/>
  <c r="N73" i="3"/>
  <c r="O73" i="3" s="1"/>
  <c r="N74" i="3"/>
  <c r="O74" i="3" s="1"/>
  <c r="N75" i="3"/>
  <c r="O75" i="3" s="1"/>
  <c r="N76" i="3"/>
  <c r="O76" i="3" s="1"/>
  <c r="N77" i="3"/>
  <c r="O77" i="3" s="1"/>
  <c r="N78" i="3"/>
  <c r="O78" i="3" s="1"/>
  <c r="N79" i="3"/>
  <c r="O79" i="3" s="1"/>
  <c r="N80" i="3"/>
  <c r="O80" i="3" s="1"/>
  <c r="N81" i="3"/>
  <c r="O81" i="3" s="1"/>
  <c r="N82" i="3"/>
  <c r="O82" i="3" s="1"/>
  <c r="N83" i="3"/>
  <c r="O83" i="3" s="1"/>
  <c r="N84" i="3"/>
  <c r="O84" i="3" s="1"/>
  <c r="N85" i="3"/>
  <c r="O85" i="3" s="1"/>
  <c r="N86" i="3"/>
  <c r="O86" i="3" s="1"/>
  <c r="N87" i="3"/>
  <c r="O87" i="3" s="1"/>
  <c r="N88" i="3"/>
  <c r="O88" i="3" s="1"/>
  <c r="N89" i="3"/>
  <c r="O89" i="3" s="1"/>
  <c r="N90" i="3"/>
  <c r="N91" i="3"/>
  <c r="O91" i="3" s="1"/>
  <c r="N92" i="3"/>
  <c r="O92" i="3" s="1"/>
  <c r="N93" i="3"/>
  <c r="O93" i="3" s="1"/>
  <c r="N94" i="3"/>
  <c r="O94" i="3" s="1"/>
  <c r="N95" i="3"/>
  <c r="O95" i="3" s="1"/>
  <c r="N96" i="3"/>
  <c r="O96" i="3" s="1"/>
  <c r="N4" i="2"/>
  <c r="O4" i="2" s="1"/>
  <c r="D39" i="2"/>
  <c r="H107" i="7"/>
  <c r="N107" i="7"/>
  <c r="N109" i="7" s="1"/>
  <c r="N111" i="7" s="1"/>
  <c r="N113" i="7" s="1"/>
  <c r="N115" i="7" s="1"/>
  <c r="H109" i="7"/>
  <c r="H111" i="7" s="1"/>
  <c r="H113" i="7" s="1"/>
  <c r="H115" i="7" s="1"/>
  <c r="K105" i="7"/>
  <c r="K107" i="7" s="1"/>
  <c r="K109" i="7" s="1"/>
  <c r="K111" i="7" s="1"/>
  <c r="K113" i="7" s="1"/>
  <c r="K115" i="7" s="1"/>
  <c r="B107" i="7"/>
  <c r="B109" i="7" s="1"/>
  <c r="B111" i="7" s="1"/>
  <c r="B113" i="7" s="1"/>
  <c r="B115" i="7" s="1"/>
  <c r="T90" i="7"/>
  <c r="T92" i="7" s="1"/>
  <c r="T94" i="7" s="1"/>
  <c r="T96" i="7" s="1"/>
  <c r="T98" i="7" s="1"/>
  <c r="W88" i="7"/>
  <c r="W90" i="7" s="1"/>
  <c r="W92" i="7" s="1"/>
  <c r="W94" i="7" s="1"/>
  <c r="W96" i="7" s="1"/>
  <c r="W98" i="7" s="1"/>
  <c r="W100" i="7" s="1"/>
  <c r="N90" i="7"/>
  <c r="N92" i="7"/>
  <c r="N94" i="7" s="1"/>
  <c r="N96" i="7" s="1"/>
  <c r="N98" i="7" s="1"/>
  <c r="Q88" i="7"/>
  <c r="Q90" i="7" s="1"/>
  <c r="Q92" i="7" s="1"/>
  <c r="Q94" i="7" s="1"/>
  <c r="Q96" i="7" s="1"/>
  <c r="Q98" i="7" s="1"/>
  <c r="Q100" i="7" s="1"/>
  <c r="H90" i="7"/>
  <c r="H92" i="7" s="1"/>
  <c r="H94" i="7" s="1"/>
  <c r="H96" i="7" s="1"/>
  <c r="H98" i="7" s="1"/>
  <c r="B90" i="7"/>
  <c r="B92" i="7" s="1"/>
  <c r="B94" i="7" s="1"/>
  <c r="B96" i="7" s="1"/>
  <c r="B98" i="7" s="1"/>
  <c r="T73" i="7"/>
  <c r="T75" i="7" s="1"/>
  <c r="T77" i="7" s="1"/>
  <c r="T79" i="7" s="1"/>
  <c r="T81" i="7" s="1"/>
  <c r="N73" i="7"/>
  <c r="N75" i="7" s="1"/>
  <c r="N77" i="7" s="1"/>
  <c r="N79" i="7" s="1"/>
  <c r="N81" i="7" s="1"/>
  <c r="K73" i="7"/>
  <c r="H73" i="7"/>
  <c r="H75" i="7" s="1"/>
  <c r="H77" i="7" s="1"/>
  <c r="H79" i="7" s="1"/>
  <c r="H81" i="7" s="1"/>
  <c r="B73" i="7"/>
  <c r="B75" i="7" s="1"/>
  <c r="B77" i="7" s="1"/>
  <c r="B79" i="7" s="1"/>
  <c r="B81" i="7" s="1"/>
  <c r="T56" i="7"/>
  <c r="T58" i="7" s="1"/>
  <c r="T60" i="7" s="1"/>
  <c r="T62" i="7" s="1"/>
  <c r="T64" i="7" s="1"/>
  <c r="Q56" i="7"/>
  <c r="N56" i="7"/>
  <c r="F18" i="2"/>
  <c r="I18" i="2" s="1"/>
  <c r="N58" i="7"/>
  <c r="N60" i="7" s="1"/>
  <c r="N62" i="7" s="1"/>
  <c r="N64" i="7" s="1"/>
  <c r="Q54" i="7"/>
  <c r="H56" i="7"/>
  <c r="H58" i="7" s="1"/>
  <c r="H60" i="7" s="1"/>
  <c r="H62" i="7" s="1"/>
  <c r="H64" i="7" s="1"/>
  <c r="B56" i="7"/>
  <c r="B58" i="7" s="1"/>
  <c r="B60" i="7" s="1"/>
  <c r="B62" i="7" s="1"/>
  <c r="B64" i="7" s="1"/>
  <c r="T39" i="7"/>
  <c r="T41" i="7"/>
  <c r="T43" i="7" s="1"/>
  <c r="T45" i="7" s="1"/>
  <c r="T47" i="7" s="1"/>
  <c r="N39" i="7"/>
  <c r="N41" i="7" s="1"/>
  <c r="N43" i="7" s="1"/>
  <c r="N45" i="7" s="1"/>
  <c r="N47" i="7" s="1"/>
  <c r="H41" i="7"/>
  <c r="H43" i="7" s="1"/>
  <c r="H45" i="7" s="1"/>
  <c r="H47" i="7" s="1"/>
  <c r="H39" i="7"/>
  <c r="K37" i="7"/>
  <c r="K39" i="7" s="1"/>
  <c r="K41" i="7" s="1"/>
  <c r="K43" i="7" s="1"/>
  <c r="K45" i="7" s="1"/>
  <c r="K47" i="7" s="1"/>
  <c r="K49" i="7" s="1"/>
  <c r="B39" i="7"/>
  <c r="B41" i="7" s="1"/>
  <c r="B43" i="7" s="1"/>
  <c r="B45" i="7" s="1"/>
  <c r="B47" i="7" s="1"/>
  <c r="E37" i="7"/>
  <c r="E39" i="7" s="1"/>
  <c r="E41" i="7" s="1"/>
  <c r="E43" i="7" s="1"/>
  <c r="E45" i="7" s="1"/>
  <c r="E47" i="7" s="1"/>
  <c r="E49" i="7" s="1"/>
  <c r="T22" i="7"/>
  <c r="T24" i="7" s="1"/>
  <c r="T26" i="7" s="1"/>
  <c r="T28" i="7" s="1"/>
  <c r="T30" i="7" s="1"/>
  <c r="W20" i="7"/>
  <c r="W22" i="7" s="1"/>
  <c r="W24" i="7" s="1"/>
  <c r="W26" i="7" s="1"/>
  <c r="W28" i="7" s="1"/>
  <c r="W30" i="7" s="1"/>
  <c r="W32" i="7" s="1"/>
  <c r="N22" i="7"/>
  <c r="N24" i="7" s="1"/>
  <c r="N26" i="7" s="1"/>
  <c r="N28" i="7" s="1"/>
  <c r="N30" i="7" s="1"/>
  <c r="Q20" i="7"/>
  <c r="Q22" i="7" s="1"/>
  <c r="Q24" i="7" s="1"/>
  <c r="Q26" i="7" s="1"/>
  <c r="Q28" i="7" s="1"/>
  <c r="Q30" i="7" s="1"/>
  <c r="Q32" i="7" s="1"/>
  <c r="H22" i="7"/>
  <c r="H24" i="7" s="1"/>
  <c r="H26" i="7" s="1"/>
  <c r="H28" i="7" s="1"/>
  <c r="H30" i="7" s="1"/>
  <c r="K20" i="7"/>
  <c r="K22" i="7" s="1"/>
  <c r="K24" i="7" s="1"/>
  <c r="K26" i="7" s="1"/>
  <c r="K28" i="7" s="1"/>
  <c r="K30" i="7" s="1"/>
  <c r="K32" i="7" s="1"/>
  <c r="B22" i="7"/>
  <c r="B24" i="7" s="1"/>
  <c r="B26" i="7" s="1"/>
  <c r="B28" i="7" s="1"/>
  <c r="B30" i="7" s="1"/>
  <c r="T5" i="7"/>
  <c r="T7" i="7" s="1"/>
  <c r="T9" i="7" s="1"/>
  <c r="T11" i="7" s="1"/>
  <c r="T13" i="7" s="1"/>
  <c r="N5" i="7"/>
  <c r="N7" i="7" s="1"/>
  <c r="N9" i="7" s="1"/>
  <c r="N11" i="7" s="1"/>
  <c r="N13" i="7" s="1"/>
  <c r="H5" i="7"/>
  <c r="H7" i="7" s="1"/>
  <c r="H9" i="7" s="1"/>
  <c r="H11" i="7" s="1"/>
  <c r="H13" i="7" s="1"/>
  <c r="O23" i="2"/>
  <c r="N21" i="2"/>
  <c r="O21" i="2" s="1"/>
  <c r="N22" i="2"/>
  <c r="O22" i="2" s="1"/>
  <c r="N23" i="2"/>
  <c r="N24" i="2"/>
  <c r="O24" i="2" s="1"/>
  <c r="N27" i="2"/>
  <c r="O27" i="2" s="1"/>
  <c r="N28" i="2"/>
  <c r="O28" i="2" s="1"/>
  <c r="N29" i="2"/>
  <c r="O29" i="2" s="1"/>
  <c r="N32" i="2"/>
  <c r="O32" i="2" s="1"/>
  <c r="N33" i="2"/>
  <c r="O33" i="2" s="1"/>
  <c r="N34" i="2"/>
  <c r="O34" i="2" s="1"/>
  <c r="N35" i="2"/>
  <c r="O35" i="2" s="1"/>
  <c r="N38" i="2"/>
  <c r="O38" i="2" s="1"/>
  <c r="P4" i="1"/>
  <c r="N5" i="2"/>
  <c r="O5" i="2" s="1"/>
  <c r="N6" i="2"/>
  <c r="O6" i="2" s="1"/>
  <c r="N7" i="2"/>
  <c r="O7" i="2" s="1"/>
  <c r="N8" i="2"/>
  <c r="O8" i="2" s="1"/>
  <c r="N9" i="2"/>
  <c r="O9" i="2" s="1"/>
  <c r="N10" i="2"/>
  <c r="O10" i="2" s="1"/>
  <c r="N11" i="2"/>
  <c r="O11" i="2" s="1"/>
  <c r="N12" i="2"/>
  <c r="O12" i="2" s="1"/>
  <c r="N13" i="2"/>
  <c r="O13" i="2" s="1"/>
  <c r="N14" i="2"/>
  <c r="O14" i="2" s="1"/>
  <c r="N15" i="2"/>
  <c r="O15" i="2" s="1"/>
  <c r="N16" i="2"/>
  <c r="O16" i="2" s="1"/>
  <c r="N17" i="2"/>
  <c r="O17" i="2" s="1"/>
  <c r="N18" i="2"/>
  <c r="O18" i="2" s="1"/>
  <c r="L4" i="1"/>
  <c r="J4" i="1"/>
  <c r="E3" i="7"/>
  <c r="B5" i="7"/>
  <c r="E5" i="7" s="1"/>
  <c r="E7" i="7" s="1"/>
  <c r="E9" i="7" s="1"/>
  <c r="E11" i="7" s="1"/>
  <c r="E13" i="7" s="1"/>
  <c r="E14" i="1"/>
  <c r="D14" i="1"/>
  <c r="H14" i="1"/>
  <c r="K14" i="1"/>
  <c r="M14" i="1"/>
  <c r="H38" i="6"/>
  <c r="H40" i="6" s="1"/>
  <c r="H42" i="6" s="1"/>
  <c r="H44" i="6" s="1"/>
  <c r="H46" i="6" s="1"/>
  <c r="K36" i="6"/>
  <c r="K38" i="6" s="1"/>
  <c r="K40" i="6" s="1"/>
  <c r="K42" i="6" s="1"/>
  <c r="K44" i="6" s="1"/>
  <c r="K46" i="6" s="1"/>
  <c r="K48" i="6" s="1"/>
  <c r="B40" i="6"/>
  <c r="B42" i="6" s="1"/>
  <c r="B44" i="6" s="1"/>
  <c r="B46" i="6" s="1"/>
  <c r="E38" i="6"/>
  <c r="E40" i="6" s="1"/>
  <c r="E42" i="6" s="1"/>
  <c r="E44" i="6" s="1"/>
  <c r="E46" i="6" s="1"/>
  <c r="E48" i="6" s="1"/>
  <c r="B38" i="6"/>
  <c r="E36" i="6"/>
  <c r="T22" i="6"/>
  <c r="T24" i="6" s="1"/>
  <c r="T26" i="6" s="1"/>
  <c r="T28" i="6" s="1"/>
  <c r="T30" i="6" s="1"/>
  <c r="N24" i="6"/>
  <c r="N26" i="6" s="1"/>
  <c r="N28" i="6" s="1"/>
  <c r="N30" i="6" s="1"/>
  <c r="N22" i="6"/>
  <c r="Q20" i="6" s="1"/>
  <c r="Q22" i="6" s="1"/>
  <c r="Q24" i="6" s="1"/>
  <c r="Q26" i="6" s="1"/>
  <c r="Q28" i="6" s="1"/>
  <c r="Q30" i="6" s="1"/>
  <c r="Q32" i="6" s="1"/>
  <c r="H22" i="6"/>
  <c r="H24" i="6" s="1"/>
  <c r="H26" i="6" s="1"/>
  <c r="H28" i="6" s="1"/>
  <c r="H30" i="6" s="1"/>
  <c r="B22" i="6"/>
  <c r="B24" i="6" s="1"/>
  <c r="B26" i="6" s="1"/>
  <c r="B28" i="6" s="1"/>
  <c r="B30" i="6" s="1"/>
  <c r="T5" i="6"/>
  <c r="T7" i="6" s="1"/>
  <c r="T9" i="6" s="1"/>
  <c r="T11" i="6" s="1"/>
  <c r="T13" i="6" s="1"/>
  <c r="W3" i="6"/>
  <c r="W5" i="6" s="1"/>
  <c r="W7" i="6" s="1"/>
  <c r="W9" i="6" s="1"/>
  <c r="W11" i="6" s="1"/>
  <c r="W13" i="6" s="1"/>
  <c r="W15" i="6" s="1"/>
  <c r="N5" i="6"/>
  <c r="N7" i="6" s="1"/>
  <c r="N9" i="6" s="1"/>
  <c r="N11" i="6" s="1"/>
  <c r="N13" i="6" s="1"/>
  <c r="H5" i="6"/>
  <c r="K3" i="6" s="1"/>
  <c r="K5" i="6" s="1"/>
  <c r="K7" i="6" s="1"/>
  <c r="K9" i="6" s="1"/>
  <c r="K11" i="6" s="1"/>
  <c r="K13" i="6" s="1"/>
  <c r="L13" i="5" l="1"/>
  <c r="P13" i="5" s="1"/>
  <c r="O97" i="3"/>
  <c r="N97" i="3"/>
  <c r="O39" i="2"/>
  <c r="N39" i="2"/>
  <c r="H43" i="4"/>
  <c r="L43" i="4" s="1"/>
  <c r="P43" i="4" s="1"/>
  <c r="O25" i="4"/>
  <c r="O44" i="4" s="1"/>
  <c r="I43" i="4"/>
  <c r="W54" i="9"/>
  <c r="W56" i="9" s="1"/>
  <c r="W58" i="9" s="1"/>
  <c r="W60" i="9" s="1"/>
  <c r="W62" i="9" s="1"/>
  <c r="W64" i="9" s="1"/>
  <c r="W66" i="9" s="1"/>
  <c r="Q54" i="9"/>
  <c r="Q56" i="9" s="1"/>
  <c r="Q58" i="9" s="1"/>
  <c r="Q60" i="9" s="1"/>
  <c r="Q62" i="9" s="1"/>
  <c r="Q64" i="9" s="1"/>
  <c r="Q66" i="9" s="1"/>
  <c r="W15" i="9"/>
  <c r="Q3" i="9"/>
  <c r="Q5" i="9" s="1"/>
  <c r="Q7" i="9" s="1"/>
  <c r="Q9" i="9" s="1"/>
  <c r="Q11" i="9" s="1"/>
  <c r="Q13" i="9" s="1"/>
  <c r="Q15" i="9" s="1"/>
  <c r="E3" i="9"/>
  <c r="E5" i="9" s="1"/>
  <c r="E7" i="9" s="1"/>
  <c r="E9" i="9" s="1"/>
  <c r="E11" i="9" s="1"/>
  <c r="E13" i="9" s="1"/>
  <c r="E15" i="9" s="1"/>
  <c r="Q343" i="8"/>
  <c r="Q345" i="8" s="1"/>
  <c r="Q347" i="8" s="1"/>
  <c r="Q349" i="8" s="1"/>
  <c r="Q351" i="8" s="1"/>
  <c r="Q353" i="8" s="1"/>
  <c r="Q355" i="8" s="1"/>
  <c r="K343" i="8"/>
  <c r="K345" i="8" s="1"/>
  <c r="K347" i="8" s="1"/>
  <c r="K349" i="8" s="1"/>
  <c r="K351" i="8" s="1"/>
  <c r="K353" i="8" s="1"/>
  <c r="K355" i="8" s="1"/>
  <c r="E343" i="8"/>
  <c r="E345" i="8" s="1"/>
  <c r="E347" i="8" s="1"/>
  <c r="E349" i="8" s="1"/>
  <c r="E351" i="8" s="1"/>
  <c r="E353" i="8" s="1"/>
  <c r="E355" i="8" s="1"/>
  <c r="W338" i="8"/>
  <c r="Q326" i="8"/>
  <c r="Q328" i="8" s="1"/>
  <c r="Q330" i="8" s="1"/>
  <c r="Q332" i="8" s="1"/>
  <c r="Q334" i="8" s="1"/>
  <c r="Q336" i="8" s="1"/>
  <c r="Q338" i="8" s="1"/>
  <c r="K326" i="8"/>
  <c r="K328" i="8" s="1"/>
  <c r="K330" i="8" s="1"/>
  <c r="K332" i="8" s="1"/>
  <c r="K334" i="8" s="1"/>
  <c r="K336" i="8" s="1"/>
  <c r="K338" i="8" s="1"/>
  <c r="E326" i="8"/>
  <c r="E328" i="8" s="1"/>
  <c r="E330" i="8" s="1"/>
  <c r="E332" i="8" s="1"/>
  <c r="E334" i="8" s="1"/>
  <c r="E336" i="8" s="1"/>
  <c r="E338" i="8" s="1"/>
  <c r="Q309" i="8"/>
  <c r="Q311" i="8" s="1"/>
  <c r="Q313" i="8" s="1"/>
  <c r="Q315" i="8" s="1"/>
  <c r="Q317" i="8" s="1"/>
  <c r="Q319" i="8" s="1"/>
  <c r="Q321" i="8" s="1"/>
  <c r="K309" i="8"/>
  <c r="K311" i="8" s="1"/>
  <c r="K313" i="8" s="1"/>
  <c r="K315" i="8" s="1"/>
  <c r="K317" i="8" s="1"/>
  <c r="K319" i="8" s="1"/>
  <c r="K321" i="8" s="1"/>
  <c r="E321" i="8"/>
  <c r="W292" i="8"/>
  <c r="W294" i="8" s="1"/>
  <c r="W296" i="8" s="1"/>
  <c r="W298" i="8" s="1"/>
  <c r="W300" i="8" s="1"/>
  <c r="W302" i="8" s="1"/>
  <c r="W304" i="8" s="1"/>
  <c r="Q292" i="8"/>
  <c r="Q294" i="8" s="1"/>
  <c r="Q296" i="8" s="1"/>
  <c r="Q298" i="8" s="1"/>
  <c r="Q300" i="8" s="1"/>
  <c r="Q302" i="8" s="1"/>
  <c r="Q304" i="8" s="1"/>
  <c r="K292" i="8"/>
  <c r="K294" i="8" s="1"/>
  <c r="K296" i="8" s="1"/>
  <c r="K298" i="8" s="1"/>
  <c r="K300" i="8" s="1"/>
  <c r="K302" i="8" s="1"/>
  <c r="K304" i="8" s="1"/>
  <c r="E292" i="8"/>
  <c r="E294" i="8" s="1"/>
  <c r="E296" i="8" s="1"/>
  <c r="E298" i="8" s="1"/>
  <c r="E300" i="8" s="1"/>
  <c r="E302" i="8" s="1"/>
  <c r="E304" i="8" s="1"/>
  <c r="W275" i="8"/>
  <c r="W277" i="8" s="1"/>
  <c r="W279" i="8" s="1"/>
  <c r="W281" i="8" s="1"/>
  <c r="W283" i="8" s="1"/>
  <c r="W285" i="8" s="1"/>
  <c r="W287" i="8" s="1"/>
  <c r="Q275" i="8"/>
  <c r="Q277" i="8" s="1"/>
  <c r="Q279" i="8" s="1"/>
  <c r="Q281" i="8" s="1"/>
  <c r="Q283" i="8" s="1"/>
  <c r="Q285" i="8" s="1"/>
  <c r="Q287" i="8" s="1"/>
  <c r="K287" i="8"/>
  <c r="E275" i="8"/>
  <c r="E277" i="8" s="1"/>
  <c r="E279" i="8" s="1"/>
  <c r="E281" i="8" s="1"/>
  <c r="E283" i="8" s="1"/>
  <c r="E285" i="8" s="1"/>
  <c r="E287" i="8" s="1"/>
  <c r="W258" i="8"/>
  <c r="W260" i="8" s="1"/>
  <c r="W262" i="8" s="1"/>
  <c r="W264" i="8" s="1"/>
  <c r="W266" i="8" s="1"/>
  <c r="W268" i="8" s="1"/>
  <c r="W270" i="8" s="1"/>
  <c r="Q258" i="8"/>
  <c r="Q260" i="8" s="1"/>
  <c r="Q262" i="8" s="1"/>
  <c r="Q264" i="8" s="1"/>
  <c r="Q266" i="8" s="1"/>
  <c r="Q268" i="8" s="1"/>
  <c r="Q270" i="8" s="1"/>
  <c r="K258" i="8"/>
  <c r="K260" i="8" s="1"/>
  <c r="K262" i="8" s="1"/>
  <c r="K264" i="8" s="1"/>
  <c r="K266" i="8" s="1"/>
  <c r="K268" i="8" s="1"/>
  <c r="K270" i="8" s="1"/>
  <c r="E258" i="8"/>
  <c r="E260" i="8" s="1"/>
  <c r="E262" i="8" s="1"/>
  <c r="E264" i="8" s="1"/>
  <c r="E266" i="8" s="1"/>
  <c r="E268" i="8" s="1"/>
  <c r="E270" i="8" s="1"/>
  <c r="W241" i="8"/>
  <c r="W243" i="8" s="1"/>
  <c r="W245" i="8" s="1"/>
  <c r="W247" i="8" s="1"/>
  <c r="W249" i="8" s="1"/>
  <c r="W251" i="8" s="1"/>
  <c r="W253" i="8" s="1"/>
  <c r="Q241" i="8"/>
  <c r="Q243" i="8" s="1"/>
  <c r="Q245" i="8" s="1"/>
  <c r="Q247" i="8" s="1"/>
  <c r="Q249" i="8" s="1"/>
  <c r="Q251" i="8" s="1"/>
  <c r="Q253" i="8" s="1"/>
  <c r="W224" i="8"/>
  <c r="W226" i="8" s="1"/>
  <c r="W228" i="8" s="1"/>
  <c r="W230" i="8" s="1"/>
  <c r="W232" i="8" s="1"/>
  <c r="W234" i="8" s="1"/>
  <c r="W236" i="8" s="1"/>
  <c r="Q224" i="8"/>
  <c r="Q226" i="8" s="1"/>
  <c r="Q228" i="8" s="1"/>
  <c r="Q230" i="8" s="1"/>
  <c r="Q232" i="8" s="1"/>
  <c r="Q234" i="8" s="1"/>
  <c r="Q236" i="8" s="1"/>
  <c r="K224" i="8"/>
  <c r="K226" i="8" s="1"/>
  <c r="K228" i="8" s="1"/>
  <c r="K230" i="8" s="1"/>
  <c r="K232" i="8" s="1"/>
  <c r="K234" i="8" s="1"/>
  <c r="K236" i="8" s="1"/>
  <c r="W207" i="8"/>
  <c r="W209" i="8" s="1"/>
  <c r="W211" i="8" s="1"/>
  <c r="W213" i="8" s="1"/>
  <c r="W215" i="8" s="1"/>
  <c r="W217" i="8" s="1"/>
  <c r="W219" i="8" s="1"/>
  <c r="Q207" i="8"/>
  <c r="Q209" i="8" s="1"/>
  <c r="Q211" i="8" s="1"/>
  <c r="Q213" i="8" s="1"/>
  <c r="Q215" i="8" s="1"/>
  <c r="Q217" i="8" s="1"/>
  <c r="Q219" i="8" s="1"/>
  <c r="K207" i="8"/>
  <c r="K209" i="8" s="1"/>
  <c r="K211" i="8" s="1"/>
  <c r="K213" i="8" s="1"/>
  <c r="K215" i="8" s="1"/>
  <c r="K217" i="8" s="1"/>
  <c r="K219" i="8" s="1"/>
  <c r="E207" i="8"/>
  <c r="E209" i="8" s="1"/>
  <c r="E211" i="8" s="1"/>
  <c r="E213" i="8" s="1"/>
  <c r="E215" i="8" s="1"/>
  <c r="E217" i="8" s="1"/>
  <c r="E219" i="8" s="1"/>
  <c r="W190" i="8"/>
  <c r="W192" i="8" s="1"/>
  <c r="W194" i="8" s="1"/>
  <c r="W196" i="8" s="1"/>
  <c r="W198" i="8" s="1"/>
  <c r="W200" i="8" s="1"/>
  <c r="W202" i="8" s="1"/>
  <c r="Q190" i="8"/>
  <c r="Q192" i="8" s="1"/>
  <c r="Q194" i="8" s="1"/>
  <c r="Q196" i="8" s="1"/>
  <c r="Q198" i="8" s="1"/>
  <c r="Q200" i="8" s="1"/>
  <c r="Q202" i="8" s="1"/>
  <c r="K190" i="8"/>
  <c r="K192" i="8" s="1"/>
  <c r="K194" i="8" s="1"/>
  <c r="K196" i="8" s="1"/>
  <c r="K198" i="8" s="1"/>
  <c r="K200" i="8" s="1"/>
  <c r="K202" i="8" s="1"/>
  <c r="E190" i="8"/>
  <c r="E192" i="8" s="1"/>
  <c r="E194" i="8" s="1"/>
  <c r="E196" i="8" s="1"/>
  <c r="E198" i="8" s="1"/>
  <c r="E200" i="8" s="1"/>
  <c r="E202" i="8" s="1"/>
  <c r="W173" i="8"/>
  <c r="W175" i="8" s="1"/>
  <c r="W177" i="8" s="1"/>
  <c r="W179" i="8" s="1"/>
  <c r="W181" i="8" s="1"/>
  <c r="W183" i="8" s="1"/>
  <c r="W185" i="8" s="1"/>
  <c r="Q173" i="8"/>
  <c r="Q175" i="8" s="1"/>
  <c r="Q177" i="8" s="1"/>
  <c r="Q179" i="8" s="1"/>
  <c r="Q181" i="8" s="1"/>
  <c r="Q183" i="8" s="1"/>
  <c r="Q185" i="8" s="1"/>
  <c r="K173" i="8"/>
  <c r="K175" i="8" s="1"/>
  <c r="K177" i="8" s="1"/>
  <c r="K179" i="8" s="1"/>
  <c r="K181" i="8" s="1"/>
  <c r="K183" i="8" s="1"/>
  <c r="K185" i="8" s="1"/>
  <c r="E173" i="8"/>
  <c r="E175" i="8" s="1"/>
  <c r="E177" i="8" s="1"/>
  <c r="E179" i="8" s="1"/>
  <c r="E181" i="8" s="1"/>
  <c r="E183" i="8" s="1"/>
  <c r="E185" i="8" s="1"/>
  <c r="Q156" i="8"/>
  <c r="Q158" i="8" s="1"/>
  <c r="Q160" i="8" s="1"/>
  <c r="Q162" i="8" s="1"/>
  <c r="Q164" i="8" s="1"/>
  <c r="Q166" i="8" s="1"/>
  <c r="Q168" i="8" s="1"/>
  <c r="K156" i="8"/>
  <c r="K158" i="8" s="1"/>
  <c r="K160" i="8" s="1"/>
  <c r="K162" i="8" s="1"/>
  <c r="K164" i="8" s="1"/>
  <c r="K166" i="8" s="1"/>
  <c r="K168" i="8" s="1"/>
  <c r="E156" i="8"/>
  <c r="E158" i="8" s="1"/>
  <c r="E160" i="8" s="1"/>
  <c r="E162" i="8" s="1"/>
  <c r="E164" i="8" s="1"/>
  <c r="E166" i="8" s="1"/>
  <c r="E168" i="8" s="1"/>
  <c r="W139" i="8"/>
  <c r="W141" i="8" s="1"/>
  <c r="W143" i="8" s="1"/>
  <c r="W145" i="8" s="1"/>
  <c r="W147" i="8" s="1"/>
  <c r="W149" i="8" s="1"/>
  <c r="W151" i="8" s="1"/>
  <c r="Q139" i="8"/>
  <c r="Q141" i="8" s="1"/>
  <c r="Q143" i="8" s="1"/>
  <c r="Q145" i="8" s="1"/>
  <c r="Q147" i="8" s="1"/>
  <c r="Q149" i="8" s="1"/>
  <c r="Q151" i="8" s="1"/>
  <c r="K139" i="8"/>
  <c r="K141" i="8" s="1"/>
  <c r="K143" i="8" s="1"/>
  <c r="K145" i="8" s="1"/>
  <c r="K147" i="8" s="1"/>
  <c r="K149" i="8" s="1"/>
  <c r="K151" i="8" s="1"/>
  <c r="E151" i="8"/>
  <c r="W122" i="8"/>
  <c r="W124" i="8" s="1"/>
  <c r="W126" i="8" s="1"/>
  <c r="W128" i="8" s="1"/>
  <c r="W130" i="8" s="1"/>
  <c r="W132" i="8" s="1"/>
  <c r="W134" i="8" s="1"/>
  <c r="W105" i="8"/>
  <c r="W107" i="8" s="1"/>
  <c r="W109" i="8" s="1"/>
  <c r="W111" i="8" s="1"/>
  <c r="W113" i="8" s="1"/>
  <c r="W115" i="8" s="1"/>
  <c r="W117" i="8" s="1"/>
  <c r="K105" i="8"/>
  <c r="K107" i="8" s="1"/>
  <c r="K109" i="8" s="1"/>
  <c r="K111" i="8" s="1"/>
  <c r="K113" i="8" s="1"/>
  <c r="K115" i="8" s="1"/>
  <c r="K117" i="8" s="1"/>
  <c r="E105" i="8"/>
  <c r="E107" i="8" s="1"/>
  <c r="E109" i="8" s="1"/>
  <c r="E111" i="8" s="1"/>
  <c r="E113" i="8" s="1"/>
  <c r="E115" i="8" s="1"/>
  <c r="E117" i="8" s="1"/>
  <c r="W88" i="8"/>
  <c r="W90" i="8" s="1"/>
  <c r="W92" i="8" s="1"/>
  <c r="W94" i="8" s="1"/>
  <c r="W96" i="8" s="1"/>
  <c r="W98" i="8" s="1"/>
  <c r="W100" i="8" s="1"/>
  <c r="K88" i="8"/>
  <c r="K90" i="8" s="1"/>
  <c r="K92" i="8" s="1"/>
  <c r="K94" i="8" s="1"/>
  <c r="K96" i="8" s="1"/>
  <c r="K98" i="8" s="1"/>
  <c r="K100" i="8" s="1"/>
  <c r="W71" i="8"/>
  <c r="W75" i="8" s="1"/>
  <c r="W77" i="8" s="1"/>
  <c r="W79" i="8" s="1"/>
  <c r="W81" i="8" s="1"/>
  <c r="W83" i="8" s="1"/>
  <c r="Q71" i="8"/>
  <c r="Q73" i="8" s="1"/>
  <c r="Q75" i="8" s="1"/>
  <c r="Q77" i="8" s="1"/>
  <c r="Q79" i="8" s="1"/>
  <c r="Q81" i="8" s="1"/>
  <c r="Q83" i="8" s="1"/>
  <c r="E71" i="8"/>
  <c r="E73" i="8" s="1"/>
  <c r="E75" i="8" s="1"/>
  <c r="E77" i="8" s="1"/>
  <c r="E79" i="8" s="1"/>
  <c r="E81" i="8" s="1"/>
  <c r="E83" i="8" s="1"/>
  <c r="W54" i="8"/>
  <c r="W56" i="8" s="1"/>
  <c r="W58" i="8" s="1"/>
  <c r="W60" i="8" s="1"/>
  <c r="W62" i="8" s="1"/>
  <c r="W64" i="8" s="1"/>
  <c r="W66" i="8" s="1"/>
  <c r="K54" i="8"/>
  <c r="K56" i="8" s="1"/>
  <c r="K58" i="8" s="1"/>
  <c r="K60" i="8" s="1"/>
  <c r="K62" i="8" s="1"/>
  <c r="K64" i="8" s="1"/>
  <c r="K66" i="8" s="1"/>
  <c r="E54" i="8"/>
  <c r="E56" i="8" s="1"/>
  <c r="E58" i="8" s="1"/>
  <c r="E60" i="8" s="1"/>
  <c r="E62" i="8" s="1"/>
  <c r="E64" i="8" s="1"/>
  <c r="E66" i="8" s="1"/>
  <c r="W37" i="8"/>
  <c r="W39" i="8" s="1"/>
  <c r="W41" i="8" s="1"/>
  <c r="W43" i="8" s="1"/>
  <c r="W45" i="8" s="1"/>
  <c r="W47" i="8" s="1"/>
  <c r="W49" i="8" s="1"/>
  <c r="Q49" i="8"/>
  <c r="K37" i="8"/>
  <c r="K39" i="8" s="1"/>
  <c r="K41" i="8" s="1"/>
  <c r="K43" i="8" s="1"/>
  <c r="K45" i="8" s="1"/>
  <c r="K47" i="8" s="1"/>
  <c r="K49" i="8" s="1"/>
  <c r="E37" i="8"/>
  <c r="E39" i="8" s="1"/>
  <c r="E41" i="8" s="1"/>
  <c r="E43" i="8" s="1"/>
  <c r="E45" i="8" s="1"/>
  <c r="E47" i="8" s="1"/>
  <c r="E49" i="8" s="1"/>
  <c r="W20" i="8"/>
  <c r="W22" i="8" s="1"/>
  <c r="W24" i="8" s="1"/>
  <c r="W26" i="8" s="1"/>
  <c r="W28" i="8" s="1"/>
  <c r="W30" i="8" s="1"/>
  <c r="W32" i="8" s="1"/>
  <c r="Q20" i="8"/>
  <c r="Q22" i="8" s="1"/>
  <c r="Q24" i="8" s="1"/>
  <c r="Q26" i="8" s="1"/>
  <c r="Q28" i="8" s="1"/>
  <c r="Q30" i="8" s="1"/>
  <c r="Q32" i="8" s="1"/>
  <c r="E20" i="8"/>
  <c r="E22" i="8" s="1"/>
  <c r="E24" i="8" s="1"/>
  <c r="E26" i="8" s="1"/>
  <c r="E28" i="8" s="1"/>
  <c r="E30" i="8" s="1"/>
  <c r="E32" i="8" s="1"/>
  <c r="W3" i="8"/>
  <c r="W5" i="8" s="1"/>
  <c r="W7" i="8" s="1"/>
  <c r="W9" i="8" s="1"/>
  <c r="W11" i="8" s="1"/>
  <c r="W13" i="8" s="1"/>
  <c r="W15" i="8" s="1"/>
  <c r="Q3" i="8"/>
  <c r="Q5" i="8" s="1"/>
  <c r="Q7" i="8" s="1"/>
  <c r="Q9" i="8" s="1"/>
  <c r="Q11" i="8" s="1"/>
  <c r="Q13" i="8" s="1"/>
  <c r="Q15" i="8" s="1"/>
  <c r="K117" i="7"/>
  <c r="Q105" i="7"/>
  <c r="Q107" i="7" s="1"/>
  <c r="Q109" i="7" s="1"/>
  <c r="Q111" i="7" s="1"/>
  <c r="Q113" i="7" s="1"/>
  <c r="Q115" i="7" s="1"/>
  <c r="Q117" i="7" s="1"/>
  <c r="E105" i="7"/>
  <c r="E107" i="7" s="1"/>
  <c r="E109" i="7" s="1"/>
  <c r="E111" i="7" s="1"/>
  <c r="E113" i="7" s="1"/>
  <c r="E115" i="7" s="1"/>
  <c r="E117" i="7" s="1"/>
  <c r="K88" i="7"/>
  <c r="K90" i="7" s="1"/>
  <c r="K92" i="7" s="1"/>
  <c r="K94" i="7" s="1"/>
  <c r="K96" i="7" s="1"/>
  <c r="K98" i="7" s="1"/>
  <c r="K100" i="7" s="1"/>
  <c r="E88" i="7"/>
  <c r="E90" i="7" s="1"/>
  <c r="E92" i="7" s="1"/>
  <c r="E94" i="7" s="1"/>
  <c r="E96" i="7" s="1"/>
  <c r="E98" i="7" s="1"/>
  <c r="E100" i="7" s="1"/>
  <c r="W71" i="7"/>
  <c r="W73" i="7" s="1"/>
  <c r="W75" i="7" s="1"/>
  <c r="W77" i="7" s="1"/>
  <c r="W79" i="7" s="1"/>
  <c r="W81" i="7" s="1"/>
  <c r="W83" i="7" s="1"/>
  <c r="Q71" i="7"/>
  <c r="Q73" i="7" s="1"/>
  <c r="Q75" i="7" s="1"/>
  <c r="Q77" i="7" s="1"/>
  <c r="Q79" i="7" s="1"/>
  <c r="Q81" i="7" s="1"/>
  <c r="Q83" i="7" s="1"/>
  <c r="K71" i="7"/>
  <c r="K75" i="7" s="1"/>
  <c r="K77" i="7" s="1"/>
  <c r="K79" i="7" s="1"/>
  <c r="K81" i="7" s="1"/>
  <c r="K83" i="7" s="1"/>
  <c r="E71" i="7"/>
  <c r="E73" i="7" s="1"/>
  <c r="E75" i="7" s="1"/>
  <c r="E77" i="7" s="1"/>
  <c r="E79" i="7" s="1"/>
  <c r="E81" i="7" s="1"/>
  <c r="E83" i="7" s="1"/>
  <c r="W54" i="7"/>
  <c r="W56" i="7" s="1"/>
  <c r="W58" i="7" s="1"/>
  <c r="W60" i="7" s="1"/>
  <c r="W62" i="7" s="1"/>
  <c r="W64" i="7" s="1"/>
  <c r="W66" i="7" s="1"/>
  <c r="Q58" i="7"/>
  <c r="Q60" i="7" s="1"/>
  <c r="Q62" i="7" s="1"/>
  <c r="Q64" i="7" s="1"/>
  <c r="Q66" i="7" s="1"/>
  <c r="K54" i="7"/>
  <c r="K56" i="7" s="1"/>
  <c r="K58" i="7" s="1"/>
  <c r="K60" i="7" s="1"/>
  <c r="K62" i="7" s="1"/>
  <c r="K64" i="7" s="1"/>
  <c r="K66" i="7" s="1"/>
  <c r="E54" i="7"/>
  <c r="E56" i="7" s="1"/>
  <c r="E58" i="7" s="1"/>
  <c r="E60" i="7" s="1"/>
  <c r="E62" i="7" s="1"/>
  <c r="E64" i="7" s="1"/>
  <c r="E66" i="7" s="1"/>
  <c r="W37" i="7"/>
  <c r="W39" i="7" s="1"/>
  <c r="W41" i="7" s="1"/>
  <c r="W43" i="7" s="1"/>
  <c r="W45" i="7" s="1"/>
  <c r="W47" i="7" s="1"/>
  <c r="W49" i="7" s="1"/>
  <c r="Q37" i="7"/>
  <c r="Q39" i="7" s="1"/>
  <c r="Q41" i="7" s="1"/>
  <c r="Q43" i="7" s="1"/>
  <c r="Q45" i="7" s="1"/>
  <c r="Q47" i="7" s="1"/>
  <c r="Q49" i="7" s="1"/>
  <c r="E20" i="7"/>
  <c r="E22" i="7" s="1"/>
  <c r="E24" i="7" s="1"/>
  <c r="E26" i="7" s="1"/>
  <c r="E28" i="7" s="1"/>
  <c r="E30" i="7" s="1"/>
  <c r="E32" i="7" s="1"/>
  <c r="W3" i="7"/>
  <c r="W5" i="7" s="1"/>
  <c r="W7" i="7" s="1"/>
  <c r="W9" i="7" s="1"/>
  <c r="W11" i="7" s="1"/>
  <c r="W13" i="7" s="1"/>
  <c r="W15" i="7" s="1"/>
  <c r="Q3" i="7"/>
  <c r="Q5" i="7" s="1"/>
  <c r="Q7" i="7" s="1"/>
  <c r="Q9" i="7" s="1"/>
  <c r="Q11" i="7" s="1"/>
  <c r="Q13" i="7" s="1"/>
  <c r="Q15" i="7" s="1"/>
  <c r="K3" i="7"/>
  <c r="K5" i="7" s="1"/>
  <c r="K7" i="7" s="1"/>
  <c r="K9" i="7" s="1"/>
  <c r="K11" i="7" s="1"/>
  <c r="K13" i="7" s="1"/>
  <c r="K15" i="7" s="1"/>
  <c r="B7" i="7"/>
  <c r="B9" i="7" s="1"/>
  <c r="B11" i="7" s="1"/>
  <c r="B13" i="7" s="1"/>
  <c r="E15" i="7" s="1"/>
  <c r="W20" i="6"/>
  <c r="W22" i="6" s="1"/>
  <c r="W24" i="6" s="1"/>
  <c r="W26" i="6" s="1"/>
  <c r="W28" i="6" s="1"/>
  <c r="W30" i="6" s="1"/>
  <c r="W32" i="6" s="1"/>
  <c r="K20" i="6"/>
  <c r="K22" i="6" s="1"/>
  <c r="K24" i="6" s="1"/>
  <c r="K26" i="6" s="1"/>
  <c r="K28" i="6" s="1"/>
  <c r="K30" i="6" s="1"/>
  <c r="K32" i="6" s="1"/>
  <c r="E20" i="6"/>
  <c r="E22" i="6" s="1"/>
  <c r="E24" i="6" s="1"/>
  <c r="E26" i="6" s="1"/>
  <c r="E28" i="6" s="1"/>
  <c r="E30" i="6" s="1"/>
  <c r="E32" i="6" s="1"/>
  <c r="Q3" i="6"/>
  <c r="Q5" i="6" s="1"/>
  <c r="Q7" i="6" s="1"/>
  <c r="Q9" i="6" s="1"/>
  <c r="Q11" i="6" s="1"/>
  <c r="Q13" i="6" s="1"/>
  <c r="Q15" i="6" s="1"/>
  <c r="H7" i="6"/>
  <c r="H9" i="6" s="1"/>
  <c r="H11" i="6" s="1"/>
  <c r="H13" i="6" s="1"/>
  <c r="K15" i="6" s="1"/>
  <c r="N13" i="1"/>
  <c r="O13" i="1" s="1"/>
  <c r="N5" i="1"/>
  <c r="O5" i="1" s="1"/>
  <c r="N6" i="1"/>
  <c r="O6" i="1" s="1"/>
  <c r="N7" i="1"/>
  <c r="O7" i="1" s="1"/>
  <c r="N8" i="1"/>
  <c r="O8" i="1" s="1"/>
  <c r="N9" i="1"/>
  <c r="O9" i="1" s="1"/>
  <c r="N10" i="1"/>
  <c r="O10" i="1" s="1"/>
  <c r="N11" i="1"/>
  <c r="O11" i="1" s="1"/>
  <c r="N12" i="1"/>
  <c r="O12" i="1" s="1"/>
  <c r="N4" i="1"/>
  <c r="O4" i="1" s="1"/>
  <c r="O14" i="1" s="1"/>
  <c r="B5" i="6"/>
  <c r="B7" i="6" s="1"/>
  <c r="B9" i="6" s="1"/>
  <c r="B11" i="6" s="1"/>
  <c r="B13" i="6" s="1"/>
  <c r="W2" i="6"/>
  <c r="J43" i="4" l="1"/>
  <c r="E3" i="6"/>
  <c r="E5" i="6"/>
  <c r="E7" i="6" s="1"/>
  <c r="E9" i="6" s="1"/>
  <c r="E11" i="6" s="1"/>
  <c r="E13" i="6" s="1"/>
  <c r="E15" i="6" s="1"/>
  <c r="F18" i="5" l="1"/>
  <c r="I18" i="5" s="1"/>
  <c r="F17" i="5"/>
  <c r="I17" i="5" s="1"/>
  <c r="F16" i="5"/>
  <c r="I16" i="5" s="1"/>
  <c r="F6" i="5"/>
  <c r="I6" i="5" s="1"/>
  <c r="F7" i="5"/>
  <c r="I7" i="5" s="1"/>
  <c r="F8" i="5"/>
  <c r="I8" i="5" s="1"/>
  <c r="F9" i="5"/>
  <c r="I9" i="5" s="1"/>
  <c r="F10" i="5"/>
  <c r="I10" i="5" s="1"/>
  <c r="F11" i="5"/>
  <c r="I11" i="5" s="1"/>
  <c r="F12" i="5"/>
  <c r="I12" i="5" s="1"/>
  <c r="F5" i="5"/>
  <c r="I5" i="5" s="1"/>
  <c r="E18" i="5"/>
  <c r="E17" i="5"/>
  <c r="E16" i="5"/>
  <c r="E6" i="5"/>
  <c r="E7" i="5"/>
  <c r="E8" i="5"/>
  <c r="E9" i="5"/>
  <c r="E10" i="5"/>
  <c r="E11" i="5"/>
  <c r="E12" i="5"/>
  <c r="E5" i="5"/>
  <c r="G20" i="4"/>
  <c r="I42" i="4"/>
  <c r="I41" i="4"/>
  <c r="F40" i="4"/>
  <c r="I40" i="4" s="1"/>
  <c r="F39" i="4"/>
  <c r="I39" i="4" s="1"/>
  <c r="F38" i="4"/>
  <c r="I38" i="4" s="1"/>
  <c r="F37" i="4"/>
  <c r="I37" i="4" s="1"/>
  <c r="F36" i="4"/>
  <c r="I36" i="4" s="1"/>
  <c r="F35" i="4"/>
  <c r="I35" i="4" s="1"/>
  <c r="F32" i="4"/>
  <c r="I32" i="4" s="1"/>
  <c r="F31" i="4"/>
  <c r="I31" i="4" s="1"/>
  <c r="F30" i="4"/>
  <c r="I30" i="4" s="1"/>
  <c r="F27" i="4"/>
  <c r="I27" i="4" s="1"/>
  <c r="I26" i="4"/>
  <c r="I25" i="4"/>
  <c r="I23" i="4"/>
  <c r="I22" i="4"/>
  <c r="I21" i="4"/>
  <c r="I20" i="4"/>
  <c r="I19" i="4"/>
  <c r="I18" i="4"/>
  <c r="F17" i="4"/>
  <c r="I17" i="4" s="1"/>
  <c r="F16" i="4"/>
  <c r="I16" i="4" s="1"/>
  <c r="F15" i="4"/>
  <c r="I15" i="4" s="1"/>
  <c r="F14" i="4"/>
  <c r="I14" i="4" s="1"/>
  <c r="F13" i="4"/>
  <c r="I13" i="4" s="1"/>
  <c r="F12" i="4"/>
  <c r="I12" i="4" s="1"/>
  <c r="F11" i="4"/>
  <c r="I11" i="4" s="1"/>
  <c r="F10" i="4"/>
  <c r="I10" i="4" s="1"/>
  <c r="F6" i="4"/>
  <c r="I6" i="4" s="1"/>
  <c r="F5" i="4"/>
  <c r="I5" i="4" s="1"/>
  <c r="F4" i="4"/>
  <c r="I4" i="4" s="1"/>
  <c r="E42" i="4"/>
  <c r="E41" i="4"/>
  <c r="E40" i="4"/>
  <c r="E39" i="4"/>
  <c r="E38" i="4"/>
  <c r="E37" i="4"/>
  <c r="E36" i="4"/>
  <c r="E35" i="4"/>
  <c r="E32" i="4"/>
  <c r="E31" i="4"/>
  <c r="E30" i="4"/>
  <c r="E27" i="4"/>
  <c r="E26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5" i="4"/>
  <c r="E6" i="4"/>
  <c r="E4" i="4"/>
  <c r="G96" i="3"/>
  <c r="G88" i="3"/>
  <c r="G80" i="3"/>
  <c r="G72" i="3"/>
  <c r="G64" i="3"/>
  <c r="G57" i="3"/>
  <c r="G56" i="3"/>
  <c r="G49" i="3"/>
  <c r="G48" i="3"/>
  <c r="G39" i="3"/>
  <c r="G34" i="3"/>
  <c r="G26" i="3"/>
  <c r="G22" i="3"/>
  <c r="G21" i="3"/>
  <c r="G15" i="3"/>
  <c r="G9" i="3"/>
  <c r="F96" i="3"/>
  <c r="I96" i="3" s="1"/>
  <c r="F95" i="3"/>
  <c r="I95" i="3" s="1"/>
  <c r="I94" i="3"/>
  <c r="F93" i="3"/>
  <c r="I93" i="3" s="1"/>
  <c r="F92" i="3"/>
  <c r="I92" i="3" s="1"/>
  <c r="F91" i="3"/>
  <c r="I91" i="3" s="1"/>
  <c r="F90" i="3"/>
  <c r="I90" i="3" s="1"/>
  <c r="F89" i="3"/>
  <c r="I89" i="3" s="1"/>
  <c r="F88" i="3"/>
  <c r="I88" i="3" s="1"/>
  <c r="F87" i="3"/>
  <c r="I87" i="3" s="1"/>
  <c r="F86" i="3"/>
  <c r="I86" i="3" s="1"/>
  <c r="F85" i="3"/>
  <c r="I85" i="3" s="1"/>
  <c r="F84" i="3"/>
  <c r="I84" i="3" s="1"/>
  <c r="F83" i="3"/>
  <c r="I83" i="3" s="1"/>
  <c r="F82" i="3"/>
  <c r="I82" i="3" s="1"/>
  <c r="F81" i="3"/>
  <c r="I81" i="3" s="1"/>
  <c r="F80" i="3"/>
  <c r="I80" i="3" s="1"/>
  <c r="F79" i="3"/>
  <c r="I79" i="3" s="1"/>
  <c r="F78" i="3"/>
  <c r="I78" i="3" s="1"/>
  <c r="F77" i="3"/>
  <c r="I77" i="3" s="1"/>
  <c r="F76" i="3"/>
  <c r="I76" i="3" s="1"/>
  <c r="F75" i="3"/>
  <c r="I75" i="3" s="1"/>
  <c r="F74" i="3"/>
  <c r="I74" i="3" s="1"/>
  <c r="F73" i="3"/>
  <c r="I73" i="3" s="1"/>
  <c r="F72" i="3"/>
  <c r="I72" i="3" s="1"/>
  <c r="F71" i="3"/>
  <c r="I71" i="3" s="1"/>
  <c r="F70" i="3"/>
  <c r="I70" i="3" s="1"/>
  <c r="F69" i="3"/>
  <c r="I69" i="3" s="1"/>
  <c r="F68" i="3"/>
  <c r="I68" i="3" s="1"/>
  <c r="F67" i="3"/>
  <c r="I67" i="3" s="1"/>
  <c r="F66" i="3"/>
  <c r="I66" i="3" s="1"/>
  <c r="F65" i="3"/>
  <c r="I65" i="3" s="1"/>
  <c r="F64" i="3"/>
  <c r="I64" i="3" s="1"/>
  <c r="F63" i="3"/>
  <c r="I63" i="3" s="1"/>
  <c r="F62" i="3"/>
  <c r="I62" i="3" s="1"/>
  <c r="F61" i="3"/>
  <c r="I61" i="3" s="1"/>
  <c r="F60" i="3"/>
  <c r="I60" i="3" s="1"/>
  <c r="F59" i="3"/>
  <c r="I59" i="3" s="1"/>
  <c r="F58" i="3"/>
  <c r="I58" i="3" s="1"/>
  <c r="I57" i="3"/>
  <c r="F56" i="3"/>
  <c r="I56" i="3" s="1"/>
  <c r="F55" i="3"/>
  <c r="I55" i="3" s="1"/>
  <c r="F54" i="3"/>
  <c r="I54" i="3" s="1"/>
  <c r="F53" i="3"/>
  <c r="I53" i="3" s="1"/>
  <c r="F52" i="3"/>
  <c r="I52" i="3" s="1"/>
  <c r="F51" i="3"/>
  <c r="I51" i="3" s="1"/>
  <c r="F50" i="3"/>
  <c r="I50" i="3" s="1"/>
  <c r="I49" i="3"/>
  <c r="I48" i="3"/>
  <c r="F45" i="3"/>
  <c r="I45" i="3" s="1"/>
  <c r="F44" i="3"/>
  <c r="I44" i="3" s="1"/>
  <c r="F43" i="3"/>
  <c r="I43" i="3" s="1"/>
  <c r="F42" i="3"/>
  <c r="I42" i="3" s="1"/>
  <c r="F41" i="3"/>
  <c r="I41" i="3" s="1"/>
  <c r="I40" i="3"/>
  <c r="I39" i="3"/>
  <c r="I38" i="3"/>
  <c r="F37" i="3"/>
  <c r="I37" i="3" s="1"/>
  <c r="F36" i="3"/>
  <c r="I36" i="3" s="1"/>
  <c r="F35" i="3"/>
  <c r="I35" i="3" s="1"/>
  <c r="I34" i="3"/>
  <c r="F33" i="3"/>
  <c r="I33" i="3" s="1"/>
  <c r="F32" i="3"/>
  <c r="I32" i="3" s="1"/>
  <c r="F31" i="3"/>
  <c r="I31" i="3" s="1"/>
  <c r="F30" i="3"/>
  <c r="I30" i="3" s="1"/>
  <c r="F29" i="3"/>
  <c r="I29" i="3" s="1"/>
  <c r="F28" i="3"/>
  <c r="I28" i="3" s="1"/>
  <c r="F27" i="3"/>
  <c r="I27" i="3" s="1"/>
  <c r="F26" i="3"/>
  <c r="I26" i="3" s="1"/>
  <c r="I24" i="3"/>
  <c r="F23" i="3"/>
  <c r="I23" i="3" s="1"/>
  <c r="I22" i="3"/>
  <c r="I21" i="3"/>
  <c r="F20" i="3"/>
  <c r="I20" i="3" s="1"/>
  <c r="I19" i="3"/>
  <c r="F18" i="3"/>
  <c r="I18" i="3" s="1"/>
  <c r="I15" i="3"/>
  <c r="F14" i="3"/>
  <c r="I14" i="3" s="1"/>
  <c r="F13" i="3"/>
  <c r="I13" i="3" s="1"/>
  <c r="F12" i="3"/>
  <c r="I12" i="3" s="1"/>
  <c r="F11" i="3"/>
  <c r="I11" i="3" s="1"/>
  <c r="I10" i="3"/>
  <c r="F5" i="3"/>
  <c r="I5" i="3" s="1"/>
  <c r="F6" i="3"/>
  <c r="I6" i="3" s="1"/>
  <c r="F4" i="3"/>
  <c r="I4" i="3" s="1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8" i="3"/>
  <c r="E45" i="3"/>
  <c r="E44" i="3"/>
  <c r="E43" i="3"/>
  <c r="E42" i="3"/>
  <c r="E41" i="3"/>
  <c r="E40" i="3"/>
  <c r="E39" i="3"/>
  <c r="H39" i="3" s="1"/>
  <c r="E38" i="3"/>
  <c r="H38" i="3" s="1"/>
  <c r="E37" i="3"/>
  <c r="E36" i="3"/>
  <c r="E35" i="3"/>
  <c r="E34" i="3"/>
  <c r="E33" i="3"/>
  <c r="E32" i="3"/>
  <c r="E31" i="3"/>
  <c r="E30" i="3"/>
  <c r="E29" i="3"/>
  <c r="E28" i="3"/>
  <c r="E27" i="3"/>
  <c r="E26" i="3"/>
  <c r="E24" i="3"/>
  <c r="E23" i="3"/>
  <c r="E22" i="3"/>
  <c r="H22" i="3" s="1"/>
  <c r="H21" i="3"/>
  <c r="E20" i="3"/>
  <c r="E19" i="3"/>
  <c r="E18" i="3"/>
  <c r="E15" i="3"/>
  <c r="E14" i="3"/>
  <c r="E13" i="3"/>
  <c r="E12" i="3"/>
  <c r="E11" i="3"/>
  <c r="E10" i="3"/>
  <c r="E9" i="3"/>
  <c r="E5" i="3"/>
  <c r="E6" i="3"/>
  <c r="E4" i="3"/>
  <c r="G18" i="2"/>
  <c r="F38" i="2"/>
  <c r="I38" i="2" s="1"/>
  <c r="F35" i="2"/>
  <c r="I35" i="2" s="1"/>
  <c r="F34" i="2"/>
  <c r="I34" i="2" s="1"/>
  <c r="F33" i="2"/>
  <c r="I33" i="2" s="1"/>
  <c r="F32" i="2"/>
  <c r="I32" i="2" s="1"/>
  <c r="F29" i="2"/>
  <c r="I29" i="2" s="1"/>
  <c r="F28" i="2"/>
  <c r="I28" i="2" s="1"/>
  <c r="F27" i="2"/>
  <c r="I27" i="2" s="1"/>
  <c r="F24" i="2"/>
  <c r="I24" i="2" s="1"/>
  <c r="F23" i="2"/>
  <c r="I23" i="2" s="1"/>
  <c r="F22" i="2"/>
  <c r="I22" i="2" s="1"/>
  <c r="F21" i="2"/>
  <c r="I21" i="2" s="1"/>
  <c r="F5" i="2"/>
  <c r="I5" i="2" s="1"/>
  <c r="F6" i="2"/>
  <c r="I6" i="2" s="1"/>
  <c r="F7" i="2"/>
  <c r="I7" i="2" s="1"/>
  <c r="F8" i="2"/>
  <c r="I8" i="2" s="1"/>
  <c r="F9" i="2"/>
  <c r="I9" i="2" s="1"/>
  <c r="F10" i="2"/>
  <c r="I10" i="2" s="1"/>
  <c r="I11" i="2"/>
  <c r="F12" i="2"/>
  <c r="I12" i="2" s="1"/>
  <c r="F13" i="2"/>
  <c r="I13" i="2" s="1"/>
  <c r="F14" i="2"/>
  <c r="I14" i="2" s="1"/>
  <c r="F15" i="2"/>
  <c r="I15" i="2" s="1"/>
  <c r="F16" i="2"/>
  <c r="I16" i="2" s="1"/>
  <c r="F17" i="2"/>
  <c r="I17" i="2" s="1"/>
  <c r="F4" i="2"/>
  <c r="I4" i="2" s="1"/>
  <c r="E38" i="2"/>
  <c r="E39" i="2" s="1"/>
  <c r="E35" i="2"/>
  <c r="E34" i="2"/>
  <c r="E33" i="2"/>
  <c r="E32" i="2"/>
  <c r="E29" i="2"/>
  <c r="E28" i="2"/>
  <c r="E27" i="2"/>
  <c r="E24" i="2"/>
  <c r="E23" i="2"/>
  <c r="E22" i="2"/>
  <c r="E21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4" i="2"/>
  <c r="G6" i="3" l="1"/>
  <c r="G43" i="3"/>
  <c r="G61" i="3"/>
  <c r="H61" i="3" s="1"/>
  <c r="G77" i="3"/>
  <c r="G85" i="3"/>
  <c r="G18" i="3"/>
  <c r="H18" i="3" s="1"/>
  <c r="G27" i="3"/>
  <c r="H27" i="3" s="1"/>
  <c r="G35" i="3"/>
  <c r="H6" i="3"/>
  <c r="H15" i="3"/>
  <c r="J15" i="3" s="1"/>
  <c r="H26" i="3"/>
  <c r="H42" i="3"/>
  <c r="H48" i="3"/>
  <c r="J48" i="3" s="1"/>
  <c r="H65" i="3"/>
  <c r="J65" i="3" s="1"/>
  <c r="H69" i="3"/>
  <c r="J69" i="3" s="1"/>
  <c r="H77" i="3"/>
  <c r="H85" i="3"/>
  <c r="J85" i="3" s="1"/>
  <c r="G12" i="3"/>
  <c r="G31" i="3"/>
  <c r="H31" i="3" s="1"/>
  <c r="G42" i="3"/>
  <c r="G52" i="3"/>
  <c r="G60" i="3"/>
  <c r="H60" i="3" s="1"/>
  <c r="G68" i="3"/>
  <c r="G76" i="3"/>
  <c r="G84" i="3"/>
  <c r="G92" i="3"/>
  <c r="H92" i="3" s="1"/>
  <c r="H12" i="3"/>
  <c r="J12" i="3" s="1"/>
  <c r="H35" i="3"/>
  <c r="H43" i="3"/>
  <c r="J43" i="3" s="1"/>
  <c r="G53" i="3"/>
  <c r="H53" i="3" s="1"/>
  <c r="G69" i="3"/>
  <c r="G93" i="3"/>
  <c r="H93" i="3" s="1"/>
  <c r="H52" i="3"/>
  <c r="J52" i="3" s="1"/>
  <c r="H56" i="3"/>
  <c r="H64" i="3"/>
  <c r="J64" i="3" s="1"/>
  <c r="H68" i="3"/>
  <c r="J68" i="3" s="1"/>
  <c r="H72" i="3"/>
  <c r="H76" i="3"/>
  <c r="H80" i="3"/>
  <c r="J80" i="3" s="1"/>
  <c r="H84" i="3"/>
  <c r="J84" i="3" s="1"/>
  <c r="H88" i="3"/>
  <c r="H96" i="3"/>
  <c r="J96" i="3" s="1"/>
  <c r="G11" i="3"/>
  <c r="H11" i="3" s="1"/>
  <c r="G30" i="3"/>
  <c r="H30" i="3" s="1"/>
  <c r="G65" i="3"/>
  <c r="G73" i="3"/>
  <c r="H73" i="3" s="1"/>
  <c r="G81" i="3"/>
  <c r="H81" i="3" s="1"/>
  <c r="G89" i="3"/>
  <c r="H89" i="3" s="1"/>
  <c r="E19" i="5"/>
  <c r="E97" i="3"/>
  <c r="H18" i="2"/>
  <c r="J18" i="2" s="1"/>
  <c r="E44" i="4"/>
  <c r="G6" i="5"/>
  <c r="H6" i="5" s="1"/>
  <c r="G11" i="5"/>
  <c r="H11" i="5" s="1"/>
  <c r="G10" i="5"/>
  <c r="H10" i="5" s="1"/>
  <c r="G18" i="5"/>
  <c r="H18" i="5" s="1"/>
  <c r="G7" i="5"/>
  <c r="H7" i="5" s="1"/>
  <c r="G5" i="5"/>
  <c r="H5" i="5" s="1"/>
  <c r="G9" i="5"/>
  <c r="H9" i="5" s="1"/>
  <c r="G16" i="5"/>
  <c r="H16" i="5" s="1"/>
  <c r="L16" i="5" s="1"/>
  <c r="P16" i="5" s="1"/>
  <c r="G12" i="5"/>
  <c r="H12" i="5" s="1"/>
  <c r="G8" i="5"/>
  <c r="H8" i="5" s="1"/>
  <c r="G17" i="5"/>
  <c r="H17" i="5" s="1"/>
  <c r="H20" i="4"/>
  <c r="J20" i="4" s="1"/>
  <c r="G27" i="4"/>
  <c r="H27" i="4" s="1"/>
  <c r="L27" i="4" s="1"/>
  <c r="P27" i="4" s="1"/>
  <c r="G16" i="4"/>
  <c r="G35" i="4"/>
  <c r="H35" i="4" s="1"/>
  <c r="G39" i="4"/>
  <c r="H39" i="4" s="1"/>
  <c r="L39" i="4" s="1"/>
  <c r="P39" i="4" s="1"/>
  <c r="G12" i="4"/>
  <c r="H12" i="4" s="1"/>
  <c r="H16" i="4"/>
  <c r="L16" i="4" s="1"/>
  <c r="P16" i="4" s="1"/>
  <c r="G5" i="4"/>
  <c r="H5" i="4" s="1"/>
  <c r="G23" i="4"/>
  <c r="H23" i="4" s="1"/>
  <c r="G10" i="4"/>
  <c r="H10" i="4" s="1"/>
  <c r="G13" i="4"/>
  <c r="H13" i="4" s="1"/>
  <c r="G17" i="4"/>
  <c r="H17" i="4" s="1"/>
  <c r="G24" i="4"/>
  <c r="H24" i="4" s="1"/>
  <c r="G30" i="4"/>
  <c r="H30" i="4" s="1"/>
  <c r="G36" i="4"/>
  <c r="H36" i="4" s="1"/>
  <c r="G40" i="4"/>
  <c r="H40" i="4" s="1"/>
  <c r="G4" i="4"/>
  <c r="H4" i="4" s="1"/>
  <c r="G14" i="4"/>
  <c r="H14" i="4" s="1"/>
  <c r="G18" i="4"/>
  <c r="H18" i="4" s="1"/>
  <c r="G21" i="4"/>
  <c r="H21" i="4" s="1"/>
  <c r="G25" i="4"/>
  <c r="H25" i="4" s="1"/>
  <c r="G31" i="4"/>
  <c r="H31" i="4" s="1"/>
  <c r="G37" i="4"/>
  <c r="H37" i="4" s="1"/>
  <c r="G41" i="4"/>
  <c r="H41" i="4" s="1"/>
  <c r="G6" i="4"/>
  <c r="H6" i="4" s="1"/>
  <c r="G11" i="4"/>
  <c r="H11" i="4" s="1"/>
  <c r="G15" i="4"/>
  <c r="H15" i="4" s="1"/>
  <c r="G19" i="4"/>
  <c r="H19" i="4" s="1"/>
  <c r="G22" i="4"/>
  <c r="H22" i="4" s="1"/>
  <c r="H26" i="4"/>
  <c r="G32" i="4"/>
  <c r="H32" i="4" s="1"/>
  <c r="G38" i="4"/>
  <c r="H38" i="4" s="1"/>
  <c r="G42" i="4"/>
  <c r="H42" i="4" s="1"/>
  <c r="H34" i="3"/>
  <c r="L34" i="3" s="1"/>
  <c r="P34" i="3" s="1"/>
  <c r="H37" i="3"/>
  <c r="H71" i="3"/>
  <c r="L6" i="3"/>
  <c r="P6" i="3" s="1"/>
  <c r="J6" i="3"/>
  <c r="J21" i="3"/>
  <c r="L21" i="3"/>
  <c r="P21" i="3" s="1"/>
  <c r="J26" i="3"/>
  <c r="L26" i="3"/>
  <c r="P26" i="3" s="1"/>
  <c r="J38" i="3"/>
  <c r="L38" i="3"/>
  <c r="P38" i="3" s="1"/>
  <c r="J42" i="3"/>
  <c r="L42" i="3"/>
  <c r="P42" i="3" s="1"/>
  <c r="L52" i="3"/>
  <c r="P52" i="3" s="1"/>
  <c r="J56" i="3"/>
  <c r="L56" i="3"/>
  <c r="P56" i="3" s="1"/>
  <c r="L68" i="3"/>
  <c r="P68" i="3" s="1"/>
  <c r="J72" i="3"/>
  <c r="L72" i="3"/>
  <c r="P72" i="3" s="1"/>
  <c r="J76" i="3"/>
  <c r="L76" i="3"/>
  <c r="P76" i="3" s="1"/>
  <c r="L84" i="3"/>
  <c r="P84" i="3" s="1"/>
  <c r="J88" i="3"/>
  <c r="L88" i="3"/>
  <c r="P88" i="3" s="1"/>
  <c r="L12" i="3"/>
  <c r="P12" i="3" s="1"/>
  <c r="J22" i="3"/>
  <c r="L22" i="3"/>
  <c r="P22" i="3" s="1"/>
  <c r="J39" i="3"/>
  <c r="L39" i="3"/>
  <c r="P39" i="3" s="1"/>
  <c r="J57" i="3"/>
  <c r="L57" i="3"/>
  <c r="P57" i="3" s="1"/>
  <c r="L69" i="3"/>
  <c r="P69" i="3" s="1"/>
  <c r="J77" i="3"/>
  <c r="L77" i="3"/>
  <c r="P77" i="3" s="1"/>
  <c r="H41" i="3"/>
  <c r="J35" i="3"/>
  <c r="L35" i="3"/>
  <c r="P35" i="3" s="1"/>
  <c r="H13" i="3"/>
  <c r="H50" i="3"/>
  <c r="H82" i="3"/>
  <c r="H9" i="3"/>
  <c r="J9" i="3" s="1"/>
  <c r="G13" i="3"/>
  <c r="G19" i="3"/>
  <c r="H19" i="3" s="1"/>
  <c r="G23" i="3"/>
  <c r="H23" i="3" s="1"/>
  <c r="G28" i="3"/>
  <c r="H28" i="3" s="1"/>
  <c r="G32" i="3"/>
  <c r="H32" i="3" s="1"/>
  <c r="G36" i="3"/>
  <c r="H36" i="3" s="1"/>
  <c r="G40" i="3"/>
  <c r="H40" i="3" s="1"/>
  <c r="G44" i="3"/>
  <c r="H44" i="3" s="1"/>
  <c r="G50" i="3"/>
  <c r="G54" i="3"/>
  <c r="H54" i="3" s="1"/>
  <c r="G58" i="3"/>
  <c r="H58" i="3" s="1"/>
  <c r="G62" i="3"/>
  <c r="H62" i="3" s="1"/>
  <c r="G66" i="3"/>
  <c r="H66" i="3" s="1"/>
  <c r="G70" i="3"/>
  <c r="H70" i="3" s="1"/>
  <c r="G74" i="3"/>
  <c r="H74" i="3" s="1"/>
  <c r="G78" i="3"/>
  <c r="H78" i="3" s="1"/>
  <c r="G82" i="3"/>
  <c r="G86" i="3"/>
  <c r="H86" i="3" s="1"/>
  <c r="G90" i="3"/>
  <c r="H90" i="3" s="1"/>
  <c r="G94" i="3"/>
  <c r="H94" i="3" s="1"/>
  <c r="G5" i="3"/>
  <c r="H5" i="3" s="1"/>
  <c r="G4" i="3"/>
  <c r="H4" i="3" s="1"/>
  <c r="G10" i="3"/>
  <c r="H10" i="3" s="1"/>
  <c r="G14" i="3"/>
  <c r="H14" i="3" s="1"/>
  <c r="G20" i="3"/>
  <c r="H20" i="3" s="1"/>
  <c r="G24" i="3"/>
  <c r="H24" i="3" s="1"/>
  <c r="G29" i="3"/>
  <c r="H29" i="3" s="1"/>
  <c r="G33" i="3"/>
  <c r="H33" i="3" s="1"/>
  <c r="G37" i="3"/>
  <c r="G41" i="3"/>
  <c r="G45" i="3"/>
  <c r="H45" i="3" s="1"/>
  <c r="G51" i="3"/>
  <c r="H51" i="3" s="1"/>
  <c r="G55" i="3"/>
  <c r="H55" i="3" s="1"/>
  <c r="G59" i="3"/>
  <c r="H59" i="3" s="1"/>
  <c r="G63" i="3"/>
  <c r="H63" i="3" s="1"/>
  <c r="G67" i="3"/>
  <c r="H67" i="3" s="1"/>
  <c r="G71" i="3"/>
  <c r="G75" i="3"/>
  <c r="H75" i="3" s="1"/>
  <c r="G79" i="3"/>
  <c r="H79" i="3" s="1"/>
  <c r="G83" i="3"/>
  <c r="H83" i="3" s="1"/>
  <c r="G87" i="3"/>
  <c r="H87" i="3" s="1"/>
  <c r="G91" i="3"/>
  <c r="H91" i="3" s="1"/>
  <c r="G95" i="3"/>
  <c r="H95" i="3" s="1"/>
  <c r="L9" i="3"/>
  <c r="P9" i="3" s="1"/>
  <c r="G4" i="2"/>
  <c r="H4" i="2" s="1"/>
  <c r="G14" i="2"/>
  <c r="H14" i="2" s="1"/>
  <c r="G6" i="2"/>
  <c r="H6" i="2" s="1"/>
  <c r="G29" i="2"/>
  <c r="H29" i="2" s="1"/>
  <c r="G11" i="2"/>
  <c r="H11" i="2" s="1"/>
  <c r="G28" i="2"/>
  <c r="H28" i="2" s="1"/>
  <c r="G10" i="2"/>
  <c r="H10" i="2" s="1"/>
  <c r="G23" i="2"/>
  <c r="H23" i="2" s="1"/>
  <c r="G17" i="2"/>
  <c r="H17" i="2" s="1"/>
  <c r="G13" i="2"/>
  <c r="H13" i="2" s="1"/>
  <c r="G9" i="2"/>
  <c r="H9" i="2" s="1"/>
  <c r="G5" i="2"/>
  <c r="G24" i="2"/>
  <c r="H24" i="2" s="1"/>
  <c r="G32" i="2"/>
  <c r="H32" i="2" s="1"/>
  <c r="L32" i="2" s="1"/>
  <c r="G35" i="2"/>
  <c r="H35" i="2" s="1"/>
  <c r="G15" i="2"/>
  <c r="H15" i="2" s="1"/>
  <c r="G7" i="2"/>
  <c r="H7" i="2" s="1"/>
  <c r="G22" i="2"/>
  <c r="H22" i="2" s="1"/>
  <c r="G34" i="2"/>
  <c r="H34" i="2" s="1"/>
  <c r="H5" i="2"/>
  <c r="G16" i="2"/>
  <c r="H16" i="2" s="1"/>
  <c r="G12" i="2"/>
  <c r="H12" i="2" s="1"/>
  <c r="G8" i="2"/>
  <c r="H8" i="2" s="1"/>
  <c r="G21" i="2"/>
  <c r="H21" i="2" s="1"/>
  <c r="G27" i="2"/>
  <c r="H27" i="2" s="1"/>
  <c r="G33" i="2"/>
  <c r="H33" i="2" s="1"/>
  <c r="G38" i="2"/>
  <c r="H38" i="2" s="1"/>
  <c r="L18" i="2"/>
  <c r="P18" i="2" s="1"/>
  <c r="E4" i="1"/>
  <c r="L93" i="3" l="1"/>
  <c r="P93" i="3" s="1"/>
  <c r="J93" i="3"/>
  <c r="J81" i="3"/>
  <c r="L81" i="3"/>
  <c r="P81" i="3" s="1"/>
  <c r="J31" i="3"/>
  <c r="L31" i="3"/>
  <c r="P31" i="3" s="1"/>
  <c r="J61" i="3"/>
  <c r="L61" i="3"/>
  <c r="P61" i="3" s="1"/>
  <c r="J73" i="3"/>
  <c r="L73" i="3"/>
  <c r="P73" i="3" s="1"/>
  <c r="J53" i="3"/>
  <c r="L53" i="3"/>
  <c r="P53" i="3" s="1"/>
  <c r="L92" i="3"/>
  <c r="P92" i="3" s="1"/>
  <c r="J92" i="3"/>
  <c r="L60" i="3"/>
  <c r="P60" i="3" s="1"/>
  <c r="J60" i="3"/>
  <c r="J18" i="3"/>
  <c r="L18" i="3"/>
  <c r="P18" i="3" s="1"/>
  <c r="J89" i="3"/>
  <c r="L89" i="3"/>
  <c r="P89" i="3" s="1"/>
  <c r="L30" i="3"/>
  <c r="P30" i="3" s="1"/>
  <c r="J30" i="3"/>
  <c r="L11" i="3"/>
  <c r="P11" i="3" s="1"/>
  <c r="J11" i="3"/>
  <c r="J27" i="3"/>
  <c r="L27" i="3"/>
  <c r="P27" i="3" s="1"/>
  <c r="L4" i="3"/>
  <c r="P4" i="3" s="1"/>
  <c r="J4" i="3"/>
  <c r="L85" i="3"/>
  <c r="P85" i="3" s="1"/>
  <c r="L43" i="3"/>
  <c r="P43" i="3" s="1"/>
  <c r="L65" i="3"/>
  <c r="P65" i="3" s="1"/>
  <c r="L96" i="3"/>
  <c r="P96" i="3" s="1"/>
  <c r="L80" i="3"/>
  <c r="P80" i="3" s="1"/>
  <c r="L64" i="3"/>
  <c r="P64" i="3" s="1"/>
  <c r="L48" i="3"/>
  <c r="P48" i="3" s="1"/>
  <c r="L15" i="3"/>
  <c r="P15" i="3" s="1"/>
  <c r="H19" i="5"/>
  <c r="L49" i="3"/>
  <c r="P49" i="3" s="1"/>
  <c r="J49" i="3"/>
  <c r="H39" i="2"/>
  <c r="J4" i="2"/>
  <c r="L4" i="2"/>
  <c r="P4" i="2" s="1"/>
  <c r="L20" i="4"/>
  <c r="P20" i="4" s="1"/>
  <c r="J16" i="4"/>
  <c r="H44" i="4"/>
  <c r="J4" i="4"/>
  <c r="L4" i="4"/>
  <c r="P4" i="4" s="1"/>
  <c r="J17" i="5"/>
  <c r="L17" i="5"/>
  <c r="P17" i="5" s="1"/>
  <c r="J10" i="5"/>
  <c r="L10" i="5"/>
  <c r="P10" i="5" s="1"/>
  <c r="J8" i="5"/>
  <c r="L8" i="5"/>
  <c r="P8" i="5" s="1"/>
  <c r="J5" i="5"/>
  <c r="L5" i="5"/>
  <c r="J11" i="5"/>
  <c r="L11" i="5"/>
  <c r="P11" i="5" s="1"/>
  <c r="J18" i="5"/>
  <c r="L18" i="5"/>
  <c r="P18" i="5" s="1"/>
  <c r="J9" i="5"/>
  <c r="L9" i="5"/>
  <c r="P9" i="5" s="1"/>
  <c r="J12" i="5"/>
  <c r="L12" i="5"/>
  <c r="P12" i="5" s="1"/>
  <c r="J7" i="5"/>
  <c r="L7" i="5"/>
  <c r="P7" i="5" s="1"/>
  <c r="J6" i="5"/>
  <c r="L6" i="5"/>
  <c r="P6" i="5" s="1"/>
  <c r="J16" i="5"/>
  <c r="J39" i="4"/>
  <c r="L5" i="4"/>
  <c r="P5" i="4" s="1"/>
  <c r="J5" i="4"/>
  <c r="L12" i="4"/>
  <c r="P12" i="4" s="1"/>
  <c r="J12" i="4"/>
  <c r="L35" i="4"/>
  <c r="P35" i="4" s="1"/>
  <c r="J35" i="4"/>
  <c r="J23" i="4"/>
  <c r="L23" i="4"/>
  <c r="P23" i="4" s="1"/>
  <c r="J27" i="4"/>
  <c r="J42" i="4"/>
  <c r="L42" i="4"/>
  <c r="P42" i="4" s="1"/>
  <c r="L38" i="4"/>
  <c r="P38" i="4" s="1"/>
  <c r="J38" i="4"/>
  <c r="J15" i="4"/>
  <c r="L15" i="4"/>
  <c r="P15" i="4" s="1"/>
  <c r="L6" i="4"/>
  <c r="P6" i="4" s="1"/>
  <c r="J6" i="4"/>
  <c r="J13" i="4"/>
  <c r="L13" i="4"/>
  <c r="P13" i="4" s="1"/>
  <c r="L19" i="4"/>
  <c r="P19" i="4" s="1"/>
  <c r="J19" i="4"/>
  <c r="J24" i="4"/>
  <c r="L24" i="4"/>
  <c r="P24" i="4" s="1"/>
  <c r="L26" i="4"/>
  <c r="P26" i="4" s="1"/>
  <c r="J26" i="4"/>
  <c r="L11" i="4"/>
  <c r="P11" i="4" s="1"/>
  <c r="J11" i="4"/>
  <c r="J36" i="4"/>
  <c r="L36" i="4"/>
  <c r="P36" i="4" s="1"/>
  <c r="J17" i="4"/>
  <c r="L17" i="4"/>
  <c r="P17" i="4" s="1"/>
  <c r="J14" i="4"/>
  <c r="L14" i="4"/>
  <c r="P14" i="4" s="1"/>
  <c r="J10" i="4"/>
  <c r="L10" i="4"/>
  <c r="P10" i="4" s="1"/>
  <c r="J22" i="4"/>
  <c r="L22" i="4"/>
  <c r="P22" i="4" s="1"/>
  <c r="J25" i="4"/>
  <c r="L25" i="4"/>
  <c r="P25" i="4" s="1"/>
  <c r="J30" i="4"/>
  <c r="L30" i="4"/>
  <c r="P30" i="4" s="1"/>
  <c r="J41" i="4"/>
  <c r="L41" i="4"/>
  <c r="P41" i="4" s="1"/>
  <c r="J21" i="4"/>
  <c r="L21" i="4"/>
  <c r="P21" i="4" s="1"/>
  <c r="J40" i="4"/>
  <c r="L40" i="4"/>
  <c r="P40" i="4" s="1"/>
  <c r="J31" i="4"/>
  <c r="L31" i="4"/>
  <c r="P31" i="4" s="1"/>
  <c r="L32" i="4"/>
  <c r="P32" i="4" s="1"/>
  <c r="J32" i="4"/>
  <c r="J37" i="4"/>
  <c r="L37" i="4"/>
  <c r="P37" i="4" s="1"/>
  <c r="J18" i="4"/>
  <c r="L18" i="4"/>
  <c r="P18" i="4" s="1"/>
  <c r="J34" i="3"/>
  <c r="L83" i="3"/>
  <c r="P83" i="3" s="1"/>
  <c r="J83" i="3"/>
  <c r="L67" i="3"/>
  <c r="P67" i="3" s="1"/>
  <c r="J67" i="3"/>
  <c r="L14" i="3"/>
  <c r="P14" i="3" s="1"/>
  <c r="J14" i="3"/>
  <c r="J78" i="3"/>
  <c r="L78" i="3"/>
  <c r="P78" i="3" s="1"/>
  <c r="J28" i="3"/>
  <c r="L28" i="3"/>
  <c r="P28" i="3" s="1"/>
  <c r="L79" i="3"/>
  <c r="P79" i="3" s="1"/>
  <c r="J79" i="3"/>
  <c r="L63" i="3"/>
  <c r="P63" i="3" s="1"/>
  <c r="J63" i="3"/>
  <c r="L45" i="3"/>
  <c r="P45" i="3" s="1"/>
  <c r="J45" i="3"/>
  <c r="L29" i="3"/>
  <c r="P29" i="3" s="1"/>
  <c r="J29" i="3"/>
  <c r="L10" i="3"/>
  <c r="P10" i="3" s="1"/>
  <c r="J10" i="3"/>
  <c r="L51" i="3"/>
  <c r="P51" i="3" s="1"/>
  <c r="J51" i="3"/>
  <c r="J94" i="3"/>
  <c r="L94" i="3"/>
  <c r="P94" i="3" s="1"/>
  <c r="J62" i="3"/>
  <c r="L62" i="3"/>
  <c r="P62" i="3" s="1"/>
  <c r="L91" i="3"/>
  <c r="P91" i="3" s="1"/>
  <c r="J91" i="3"/>
  <c r="L59" i="3"/>
  <c r="P59" i="3" s="1"/>
  <c r="J59" i="3"/>
  <c r="L24" i="3"/>
  <c r="J24" i="3"/>
  <c r="J86" i="3"/>
  <c r="L86" i="3"/>
  <c r="P86" i="3" s="1"/>
  <c r="J70" i="3"/>
  <c r="L70" i="3"/>
  <c r="P70" i="3" s="1"/>
  <c r="J54" i="3"/>
  <c r="L54" i="3"/>
  <c r="P54" i="3" s="1"/>
  <c r="J36" i="3"/>
  <c r="L36" i="3"/>
  <c r="P36" i="3" s="1"/>
  <c r="J19" i="3"/>
  <c r="L19" i="3"/>
  <c r="P19" i="3" s="1"/>
  <c r="L33" i="3"/>
  <c r="P33" i="3" s="1"/>
  <c r="J33" i="3"/>
  <c r="J44" i="3"/>
  <c r="L44" i="3"/>
  <c r="P44" i="3" s="1"/>
  <c r="L87" i="3"/>
  <c r="P87" i="3" s="1"/>
  <c r="J87" i="3"/>
  <c r="L55" i="3"/>
  <c r="P55" i="3" s="1"/>
  <c r="J55" i="3"/>
  <c r="L20" i="3"/>
  <c r="P20" i="3" s="1"/>
  <c r="J20" i="3"/>
  <c r="L5" i="3"/>
  <c r="P5" i="3" s="1"/>
  <c r="J5" i="3"/>
  <c r="J82" i="3"/>
  <c r="L82" i="3"/>
  <c r="P82" i="3" s="1"/>
  <c r="J50" i="3"/>
  <c r="L50" i="3"/>
  <c r="P50" i="3" s="1"/>
  <c r="J13" i="3"/>
  <c r="L13" i="3"/>
  <c r="P13" i="3" s="1"/>
  <c r="L41" i="3"/>
  <c r="P41" i="3" s="1"/>
  <c r="J41" i="3"/>
  <c r="L71" i="3"/>
  <c r="P71" i="3" s="1"/>
  <c r="J71" i="3"/>
  <c r="L37" i="3"/>
  <c r="P37" i="3" s="1"/>
  <c r="J37" i="3"/>
  <c r="J66" i="3"/>
  <c r="L66" i="3"/>
  <c r="P66" i="3" s="1"/>
  <c r="J32" i="3"/>
  <c r="L32" i="3"/>
  <c r="P32" i="3" s="1"/>
  <c r="L75" i="3"/>
  <c r="P75" i="3" s="1"/>
  <c r="J75" i="3"/>
  <c r="J90" i="3"/>
  <c r="L90" i="3"/>
  <c r="P90" i="3" s="1"/>
  <c r="J74" i="3"/>
  <c r="L74" i="3"/>
  <c r="P74" i="3" s="1"/>
  <c r="J58" i="3"/>
  <c r="L58" i="3"/>
  <c r="P58" i="3" s="1"/>
  <c r="J40" i="3"/>
  <c r="L40" i="3"/>
  <c r="P40" i="3" s="1"/>
  <c r="J23" i="3"/>
  <c r="L23" i="3"/>
  <c r="P23" i="3" s="1"/>
  <c r="L95" i="3"/>
  <c r="P95" i="3" s="1"/>
  <c r="J95" i="3"/>
  <c r="J38" i="2"/>
  <c r="L38" i="2"/>
  <c r="P38" i="2" s="1"/>
  <c r="J8" i="2"/>
  <c r="L8" i="2"/>
  <c r="P8" i="2" s="1"/>
  <c r="L34" i="2"/>
  <c r="P34" i="2" s="1"/>
  <c r="J34" i="2"/>
  <c r="J35" i="2"/>
  <c r="L35" i="2"/>
  <c r="P35" i="2" s="1"/>
  <c r="L23" i="2"/>
  <c r="P23" i="2" s="1"/>
  <c r="J23" i="2"/>
  <c r="L29" i="2"/>
  <c r="P29" i="2" s="1"/>
  <c r="J29" i="2"/>
  <c r="J21" i="2"/>
  <c r="L21" i="2"/>
  <c r="P21" i="2" s="1"/>
  <c r="J12" i="2"/>
  <c r="L12" i="2"/>
  <c r="P12" i="2" s="1"/>
  <c r="L6" i="2"/>
  <c r="P6" i="2" s="1"/>
  <c r="J6" i="2"/>
  <c r="L15" i="2"/>
  <c r="P15" i="2" s="1"/>
  <c r="J15" i="2"/>
  <c r="L11" i="2"/>
  <c r="J11" i="2"/>
  <c r="J33" i="2"/>
  <c r="L33" i="2"/>
  <c r="P33" i="2" s="1"/>
  <c r="L22" i="2"/>
  <c r="P22" i="2" s="1"/>
  <c r="J22" i="2"/>
  <c r="J10" i="2"/>
  <c r="L10" i="2"/>
  <c r="P10" i="2" s="1"/>
  <c r="L27" i="2"/>
  <c r="P27" i="2" s="1"/>
  <c r="J27" i="2"/>
  <c r="J16" i="2"/>
  <c r="L16" i="2"/>
  <c r="P16" i="2" s="1"/>
  <c r="J7" i="2"/>
  <c r="L7" i="2"/>
  <c r="P7" i="2" s="1"/>
  <c r="J24" i="2"/>
  <c r="L24" i="2"/>
  <c r="P24" i="2" s="1"/>
  <c r="J28" i="2"/>
  <c r="L28" i="2"/>
  <c r="P28" i="2" s="1"/>
  <c r="J32" i="2"/>
  <c r="P32" i="2"/>
  <c r="J5" i="2"/>
  <c r="L5" i="2"/>
  <c r="P5" i="2" s="1"/>
  <c r="L14" i="2"/>
  <c r="P14" i="2" s="1"/>
  <c r="J14" i="2"/>
  <c r="J17" i="2"/>
  <c r="L17" i="2"/>
  <c r="P17" i="2" s="1"/>
  <c r="L9" i="2"/>
  <c r="P9" i="2" s="1"/>
  <c r="J9" i="2"/>
  <c r="J13" i="2"/>
  <c r="L13" i="2"/>
  <c r="P13" i="2" s="1"/>
  <c r="G4" i="1"/>
  <c r="H4" i="1" s="1"/>
  <c r="F4" i="1"/>
  <c r="I4" i="1" s="1"/>
  <c r="F13" i="1"/>
  <c r="I13" i="1" s="1"/>
  <c r="F5" i="1"/>
  <c r="I5" i="1" s="1"/>
  <c r="F6" i="1"/>
  <c r="I6" i="1" s="1"/>
  <c r="F7" i="1"/>
  <c r="I7" i="1" s="1"/>
  <c r="F8" i="1"/>
  <c r="I8" i="1" s="1"/>
  <c r="F9" i="1"/>
  <c r="I9" i="1" s="1"/>
  <c r="F10" i="1"/>
  <c r="I10" i="1" s="1"/>
  <c r="F11" i="1"/>
  <c r="I11" i="1" s="1"/>
  <c r="F12" i="1"/>
  <c r="I12" i="1" s="1"/>
  <c r="E5" i="1"/>
  <c r="E6" i="1"/>
  <c r="E7" i="1"/>
  <c r="E8" i="1"/>
  <c r="E9" i="1"/>
  <c r="E10" i="1"/>
  <c r="E11" i="1"/>
  <c r="E12" i="1"/>
  <c r="E13" i="1"/>
  <c r="J97" i="3" l="1"/>
  <c r="J19" i="5"/>
  <c r="P24" i="3"/>
  <c r="L97" i="3"/>
  <c r="J39" i="2"/>
  <c r="P5" i="5"/>
  <c r="P19" i="5" s="1"/>
  <c r="L19" i="5"/>
  <c r="P11" i="2"/>
  <c r="P39" i="2" s="1"/>
  <c r="L39" i="2"/>
  <c r="H8" i="1"/>
  <c r="H13" i="1"/>
  <c r="G10" i="1"/>
  <c r="H10" i="1" s="1"/>
  <c r="G6" i="1"/>
  <c r="H6" i="1" s="1"/>
  <c r="G13" i="1"/>
  <c r="G9" i="1"/>
  <c r="H9" i="1" s="1"/>
  <c r="G5" i="1"/>
  <c r="H5" i="1" s="1"/>
  <c r="G12" i="1"/>
  <c r="H12" i="1" s="1"/>
  <c r="G8" i="1"/>
  <c r="G11" i="1"/>
  <c r="H11" i="1" s="1"/>
  <c r="G7" i="1"/>
  <c r="H7" i="1" s="1"/>
  <c r="L11" i="1" l="1"/>
  <c r="P11" i="1" s="1"/>
  <c r="J11" i="1"/>
  <c r="L9" i="1"/>
  <c r="P9" i="1" s="1"/>
  <c r="J9" i="1"/>
  <c r="L12" i="1"/>
  <c r="P12" i="1" s="1"/>
  <c r="J12" i="1"/>
  <c r="L6" i="1"/>
  <c r="P6" i="1" s="1"/>
  <c r="J6" i="1"/>
  <c r="L7" i="1"/>
  <c r="P7" i="1" s="1"/>
  <c r="J7" i="1"/>
  <c r="L5" i="1"/>
  <c r="P5" i="1" s="1"/>
  <c r="J5" i="1"/>
  <c r="J10" i="1"/>
  <c r="L10" i="1"/>
  <c r="P10" i="1" s="1"/>
  <c r="L8" i="1"/>
  <c r="P8" i="1" s="1"/>
  <c r="J8" i="1"/>
  <c r="L13" i="1"/>
  <c r="P13" i="1" s="1"/>
  <c r="J13" i="1"/>
  <c r="P14" i="1" l="1"/>
  <c r="L14" i="1"/>
</calcChain>
</file>

<file path=xl/sharedStrings.xml><?xml version="1.0" encoding="utf-8"?>
<sst xmlns="http://schemas.openxmlformats.org/spreadsheetml/2006/main" count="4041" uniqueCount="459">
  <si>
    <t xml:space="preserve">A G U I N A L D O   N O M I N A   R E G I D O R E S </t>
  </si>
  <si>
    <t>N°</t>
  </si>
  <si>
    <t>NOMBRE</t>
  </si>
  <si>
    <t>PLAZA</t>
  </si>
  <si>
    <t>SUELDO QUINCENAL</t>
  </si>
  <si>
    <t>SUELDO DIARIO</t>
  </si>
  <si>
    <t xml:space="preserve">DIAS LABORADOS </t>
  </si>
  <si>
    <t>DIAS</t>
  </si>
  <si>
    <t>IMPORTE AGUINALDO</t>
  </si>
  <si>
    <t>EXENTO</t>
  </si>
  <si>
    <t>GRAVA</t>
  </si>
  <si>
    <t xml:space="preserve">ISR </t>
  </si>
  <si>
    <t>TOTAL PERCEPCIONES</t>
  </si>
  <si>
    <t>SUBSIDIO AL EMPLEO</t>
  </si>
  <si>
    <t>ISR</t>
  </si>
  <si>
    <t>TOTAL DEDUCCIONES</t>
  </si>
  <si>
    <t>AGUINALDO NETO</t>
  </si>
  <si>
    <t>FIRMA</t>
  </si>
  <si>
    <t>Castañeda Marquez Armando.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</si>
  <si>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</si>
  <si>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</si>
  <si>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</si>
  <si>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</si>
  <si>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</si>
  <si>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</si>
  <si>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</si>
  <si>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</si>
  <si>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</si>
  <si>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Regidores</t>
  </si>
  <si>
    <t xml:space="preserve">Gonzalez Carmona Teresa de Jesus </t>
  </si>
  <si>
    <t>Mejía Cortes José Emmanuel</t>
  </si>
  <si>
    <t xml:space="preserve">Rosales González José de Jesús </t>
  </si>
  <si>
    <t>Silva Flores Moises Ulises</t>
  </si>
  <si>
    <t>Almeida Valderrama Jesús Evelia</t>
  </si>
  <si>
    <t xml:space="preserve">González Gutiérrez Gloria </t>
  </si>
  <si>
    <t>Flores López Vanessa Carolina</t>
  </si>
  <si>
    <t>González Piz Agustín</t>
  </si>
  <si>
    <t>León Núñez Héctor Alexander</t>
  </si>
  <si>
    <t>Topete Valdez Ana Xóchitl</t>
  </si>
  <si>
    <t>Miramontes Morales Maricela</t>
  </si>
  <si>
    <t>Mejía Cortes Marco Antonio</t>
  </si>
  <si>
    <t>Cortez Rodríguez Olivaldo</t>
  </si>
  <si>
    <t>Palacios Santiago Hilda Guillermina</t>
  </si>
  <si>
    <t xml:space="preserve">Caro Santiago Martha </t>
  </si>
  <si>
    <t>López Rubio Luz Nayeli</t>
  </si>
  <si>
    <t xml:space="preserve">Sánchez Palacios Juan José </t>
  </si>
  <si>
    <t>Jiménez Cervantes Roberto</t>
  </si>
  <si>
    <t xml:space="preserve">Mendoza Lara Olivia </t>
  </si>
  <si>
    <t xml:space="preserve">Guerrero Gallardo Humberto </t>
  </si>
  <si>
    <t>Rodríguez Sandoval Abraham</t>
  </si>
  <si>
    <t>Teposte Reyes Jesús</t>
  </si>
  <si>
    <t>Francisco Macario Mayorga Corona</t>
  </si>
  <si>
    <t>Macías Vega Irma</t>
  </si>
  <si>
    <t xml:space="preserve">León Ruiz Salvador </t>
  </si>
  <si>
    <t xml:space="preserve">Presidente Municipal </t>
  </si>
  <si>
    <t xml:space="preserve">Secretario General </t>
  </si>
  <si>
    <t xml:space="preserve">Oficial Mayor </t>
  </si>
  <si>
    <t xml:space="preserve">Coordinador Estrategico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</si>
  <si>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</si>
  <si>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</si>
  <si>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</si>
  <si>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</si>
  <si>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</si>
  <si>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</si>
  <si>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</si>
  <si>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</si>
  <si>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 xml:space="preserve">Intendencia Casa Cultura </t>
  </si>
  <si>
    <t>Encargada de Hacienda Municipal</t>
  </si>
  <si>
    <t xml:space="preserve">Contralor </t>
  </si>
  <si>
    <t xml:space="preserve">Aux. Catastro </t>
  </si>
  <si>
    <t xml:space="preserve">Director Obras Públicas </t>
  </si>
  <si>
    <t xml:space="preserve">Secretaria Obras Públicas </t>
  </si>
  <si>
    <t xml:space="preserve">Operador de Maquina </t>
  </si>
  <si>
    <t xml:space="preserve">Director Rastro </t>
  </si>
  <si>
    <t xml:space="preserve">Director Agua Potable </t>
  </si>
  <si>
    <t>Aux. Aseo</t>
  </si>
  <si>
    <t xml:space="preserve">Aux. Intendencia </t>
  </si>
  <si>
    <t xml:space="preserve">Medico Municipal </t>
  </si>
  <si>
    <t xml:space="preserve">A G U I N A L D O   N O M I N A   B A S E </t>
  </si>
  <si>
    <t xml:space="preserve">A G U I N A L D O   N O M I N A   E V E N T U AL </t>
  </si>
  <si>
    <t xml:space="preserve">Ulloa Colin Diana Marisela </t>
  </si>
  <si>
    <t xml:space="preserve">Camacho Rojas Alix Dayanara </t>
  </si>
  <si>
    <t xml:space="preserve">Zambrano Arriaga Maria Elizabeht </t>
  </si>
  <si>
    <t xml:space="preserve">Chavéz Zuñiga Antonio Alexis </t>
  </si>
  <si>
    <t xml:space="preserve">Ocegueda Guerrero Juan </t>
  </si>
  <si>
    <t>Escobedo Rojas José Sabino</t>
  </si>
  <si>
    <t>López Flores Ulises</t>
  </si>
  <si>
    <t>Castañeda Hernández Gregorio</t>
  </si>
  <si>
    <t>Luna Pérez J. Félix</t>
  </si>
  <si>
    <t xml:space="preserve">Villegas Murillo Maria Luisa </t>
  </si>
  <si>
    <t xml:space="preserve">Castellano Buenrostro Hector Martin </t>
  </si>
  <si>
    <t xml:space="preserve">Rodriguez Briseño Viridiana </t>
  </si>
  <si>
    <t xml:space="preserve">De Los Santos Juan Manuel </t>
  </si>
  <si>
    <t xml:space="preserve">Castañeda Padilla Giovanni </t>
  </si>
  <si>
    <t>Moreno Cortes María Guadalupe</t>
  </si>
  <si>
    <t>Amezquita Zambrano Belen</t>
  </si>
  <si>
    <t>González Caldera Marcos de Jesús</t>
  </si>
  <si>
    <t>Rosales González Alejandra Guadalupe</t>
  </si>
  <si>
    <t>Gutiérrez Rodríguez José</t>
  </si>
  <si>
    <t xml:space="preserve">Vega León Maria de Lourdes </t>
  </si>
  <si>
    <t xml:space="preserve">Rivera Gomez Josefina </t>
  </si>
  <si>
    <t>Caldera Solis Jorge Alberto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</si>
  <si>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</si>
  <si>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</si>
  <si>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</si>
  <si>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</si>
  <si>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</si>
  <si>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Rosales Perez Enrique </t>
  </si>
  <si>
    <t xml:space="preserve">Covarrubias Arellano Héctor </t>
  </si>
  <si>
    <t xml:space="preserve">Salmeron Vega Miguel Angel </t>
  </si>
  <si>
    <t xml:space="preserve">Director Cultura </t>
  </si>
  <si>
    <t xml:space="preserve">Director Ecologia </t>
  </si>
  <si>
    <t xml:space="preserve">Director Catastro </t>
  </si>
  <si>
    <t>Aux. Hacienda Municipal</t>
  </si>
  <si>
    <t xml:space="preserve">Aux. Hacienda Municipal </t>
  </si>
  <si>
    <t xml:space="preserve">Secretaria Hacienda Municipal </t>
  </si>
  <si>
    <t xml:space="preserve">Inspector de Obra </t>
  </si>
  <si>
    <t>Operador Maquinaria</t>
  </si>
  <si>
    <t xml:space="preserve">Valdez Rosales Adriana Nelyda </t>
  </si>
  <si>
    <t xml:space="preserve">Secretaria </t>
  </si>
  <si>
    <t xml:space="preserve">Galindo Llamas Marisol </t>
  </si>
  <si>
    <t xml:space="preserve">Aux. Oficilia Mayor </t>
  </si>
  <si>
    <t xml:space="preserve">Luna Cruz Susana </t>
  </si>
  <si>
    <t>Maestro Danza</t>
  </si>
  <si>
    <t xml:space="preserve">Secretario Cultura </t>
  </si>
  <si>
    <t xml:space="preserve">Lopez Flores María Cruz </t>
  </si>
  <si>
    <t>Encargada Biblioteca</t>
  </si>
  <si>
    <t xml:space="preserve">Aux. Biblioteca </t>
  </si>
  <si>
    <t>Aux. Transparencia</t>
  </si>
  <si>
    <t xml:space="preserve">Secretaria Presidencia </t>
  </si>
  <si>
    <t xml:space="preserve">Aux. Comunicación Social </t>
  </si>
  <si>
    <t xml:space="preserve">Intendencia Presidencia </t>
  </si>
  <si>
    <t>Intendencia Casa Cultura</t>
  </si>
  <si>
    <t xml:space="preserve">Aux. General </t>
  </si>
  <si>
    <t xml:space="preserve">Perez Luna  Salvador </t>
  </si>
  <si>
    <t>Celaya Bañuelos Kevin Fernando</t>
  </si>
  <si>
    <t>Castañeda Vega Lluacet Alejandro</t>
  </si>
  <si>
    <t>Téllez Ceseña Genaro</t>
  </si>
  <si>
    <t>Hernandez Amaya Jose Alfredo</t>
  </si>
  <si>
    <t xml:space="preserve">Inspector Agricultura y Ganaderia </t>
  </si>
  <si>
    <t>Maldonado Moreno Roberto</t>
  </si>
  <si>
    <t xml:space="preserve">Chofer </t>
  </si>
  <si>
    <t>Becerra Esparza Salvador Alejandro</t>
  </si>
  <si>
    <t>Gudiño Ayón Gerónimo Antonio</t>
  </si>
  <si>
    <t>Monroy Hernández Luis Enrique</t>
  </si>
  <si>
    <t>Mendoza Covarrubias Pedro</t>
  </si>
  <si>
    <t>Orendain López Fidel</t>
  </si>
  <si>
    <t>Chofer Transporte Alumnos</t>
  </si>
  <si>
    <t>Bravo Bañuelos Ramiro</t>
  </si>
  <si>
    <t>Jiménez Ponce  José Asunción</t>
  </si>
  <si>
    <t>Hidalgo Navarro Miguel Ángel</t>
  </si>
  <si>
    <t xml:space="preserve">Mecanico </t>
  </si>
  <si>
    <t>Corona Flores José Feliciano</t>
  </si>
  <si>
    <t xml:space="preserve">Aux. Agua Potable </t>
  </si>
  <si>
    <t>Flores Rubio Alejandro</t>
  </si>
  <si>
    <t>Pacheco Ocegueda Luis</t>
  </si>
  <si>
    <t xml:space="preserve">Altamirano Pérez José Hermes </t>
  </si>
  <si>
    <t>Salinas Suarez José Asunción</t>
  </si>
  <si>
    <t>Mendoza Covarrubias Antonio</t>
  </si>
  <si>
    <t>Valdez Guzman Geronimo</t>
  </si>
  <si>
    <t>Ocegueda Guerrero Lorenzo</t>
  </si>
  <si>
    <t>Hernández Romero Rubén</t>
  </si>
  <si>
    <t>Aux. Alumbrado Público</t>
  </si>
  <si>
    <t>García García Fernando</t>
  </si>
  <si>
    <t>Bañuelos Bañuelos J. Antonio</t>
  </si>
  <si>
    <t>Esparza Martínez Mauricio Eugenio</t>
  </si>
  <si>
    <t>Aux. Recolector Basura</t>
  </si>
  <si>
    <t>Flores Gutiérrez Agustín</t>
  </si>
  <si>
    <t>Montes Zambrano M. Antonio</t>
  </si>
  <si>
    <t xml:space="preserve">Aux. Aseo Municipal </t>
  </si>
  <si>
    <t>Amezquita Llamas Candelario</t>
  </si>
  <si>
    <t>Valdez Medida Martin Guadalupe</t>
  </si>
  <si>
    <t>Valle González Gerónimo</t>
  </si>
  <si>
    <t xml:space="preserve">González Gutiérrez Javier </t>
  </si>
  <si>
    <t>López Corona Joel Martiniano</t>
  </si>
  <si>
    <t>López Arellano Emiliano</t>
  </si>
  <si>
    <t xml:space="preserve">Aux. Intendencia Municipal </t>
  </si>
  <si>
    <t>Manzano Pérez Gerardo</t>
  </si>
  <si>
    <t xml:space="preserve">Aux. Aseo Plaza Principal </t>
  </si>
  <si>
    <t xml:space="preserve">Gonzalez Garcia Jorge Arturo </t>
  </si>
  <si>
    <t xml:space="preserve">León Garcia Juana </t>
  </si>
  <si>
    <t xml:space="preserve">Encargada Agua Potable </t>
  </si>
  <si>
    <t>Avalos Torres Roberto</t>
  </si>
  <si>
    <t xml:space="preserve">Encargado de Bomba </t>
  </si>
  <si>
    <t xml:space="preserve">Orendain Rubio Jorge </t>
  </si>
  <si>
    <t>Galindo Castañeda Ma. Antonia</t>
  </si>
  <si>
    <t>Pardo Orozco Karina</t>
  </si>
  <si>
    <t>Martínez Melendrez Cuitlahuac</t>
  </si>
  <si>
    <t>Galindo Rodríguez Catalina</t>
  </si>
  <si>
    <t>Carranza Bañuelos Miguel</t>
  </si>
  <si>
    <t>Peña Carillo Oscar</t>
  </si>
  <si>
    <t>Rodríguez Navarro Jaime</t>
  </si>
  <si>
    <t xml:space="preserve">Encargado de Bomba Conocas </t>
  </si>
  <si>
    <t>Celaya López Rubén</t>
  </si>
  <si>
    <t xml:space="preserve">Encargado Parque Vehicular </t>
  </si>
  <si>
    <t>González Macías Daniel</t>
  </si>
  <si>
    <t>Rubio Esqueda J. Antonio</t>
  </si>
  <si>
    <t xml:space="preserve">Encargado Cementerio Municipal </t>
  </si>
  <si>
    <t>Briseño Valderrama Ángel Leonel</t>
  </si>
  <si>
    <t>Encargado Relleno Municipal</t>
  </si>
  <si>
    <t xml:space="preserve">Gutierrez Mendoza Pascual </t>
  </si>
  <si>
    <t xml:space="preserve">Encargado Unidad Deportiva </t>
  </si>
  <si>
    <t>Castañeda Frías Tomas</t>
  </si>
  <si>
    <t xml:space="preserve">Encargado Almacen Gasolina </t>
  </si>
  <si>
    <t>Rayoza Moreno Jorge</t>
  </si>
  <si>
    <t xml:space="preserve">Encargado Parque Vehicular La Labor </t>
  </si>
  <si>
    <t xml:space="preserve">A G U I N A L D O   N O M I N A   F O R T A M U N </t>
  </si>
  <si>
    <t>Directora Seguridad Publica</t>
  </si>
  <si>
    <t>Subdirector Seguridad Pública</t>
  </si>
  <si>
    <t>Comandante Seguridad Publica</t>
  </si>
  <si>
    <t xml:space="preserve">Policia de Linea </t>
  </si>
  <si>
    <t xml:space="preserve">Monroy Covarrubias Ramiro </t>
  </si>
  <si>
    <t>Director Protección Civil</t>
  </si>
  <si>
    <t>Galindo Contreras Jose Juan</t>
  </si>
  <si>
    <t>Comandante Protección Civil</t>
  </si>
  <si>
    <t>Bravo Bañuelos Jose de Jesus</t>
  </si>
  <si>
    <t>Carrillo Galvan Ana Veronica</t>
  </si>
  <si>
    <t xml:space="preserve">Oficial de Linea </t>
  </si>
  <si>
    <t>Lopez Roman Noemi</t>
  </si>
  <si>
    <t xml:space="preserve">Valdez Rivera Maria Elena </t>
  </si>
  <si>
    <t>Garcia Gutierrez Cesar Gustavo</t>
  </si>
  <si>
    <t>Briseño Bañuelos Bryan Santiago</t>
  </si>
  <si>
    <t>Ledesma Padilla Alan Oswaldo</t>
  </si>
  <si>
    <t xml:space="preserve">Celaya Guillermo </t>
  </si>
  <si>
    <t xml:space="preserve">Cordero Gutierrez Mayra </t>
  </si>
  <si>
    <t>GONZALEZ VARELA RAMÓN</t>
  </si>
  <si>
    <t>ENC.BOMBA LAS CUEVAS</t>
  </si>
  <si>
    <t xml:space="preserve">TIZNADO AYON JUAN RAMÓN </t>
  </si>
  <si>
    <t>AUXILIAR</t>
  </si>
  <si>
    <t xml:space="preserve">GARCIA CASILLAS MARIA DEL REFUGIO </t>
  </si>
  <si>
    <t>SECRETARIA</t>
  </si>
  <si>
    <t>VALADEZ VILLA MARCELINO</t>
  </si>
  <si>
    <t>CHOFER</t>
  </si>
  <si>
    <t>ROBLES CHACON MODESTO</t>
  </si>
  <si>
    <t>GARCIA CASILLAS PEDRO IGNACIO</t>
  </si>
  <si>
    <t>MONTES ZAMBRANO ALFREDO</t>
  </si>
  <si>
    <t>DIR.ALUMBRADO</t>
  </si>
  <si>
    <t xml:space="preserve">LEDEZMA ESPINOZA VENANCIO </t>
  </si>
  <si>
    <t>MANZANO HIDALGO RUBEN</t>
  </si>
  <si>
    <t>AUX. RASTRO</t>
  </si>
  <si>
    <t>CARRILLO LOPEZ ALVARO</t>
  </si>
  <si>
    <t>OFICIAL DE LINEA (PROTEC.CIVIL)</t>
  </si>
  <si>
    <t xml:space="preserve">ESQUIVEL HERNADEZ BRAYAM ALBERTO </t>
  </si>
  <si>
    <t>POLICIA DE LINEA</t>
  </si>
  <si>
    <t>AGUINALDO  CORRESPONDIENTE DEL 01 DE ENERO AL 31 DE DICIEMBRE DE 2022</t>
  </si>
  <si>
    <t xml:space="preserve">CASTAÑEDA MARQUEZ ARMANDO </t>
  </si>
  <si>
    <t>ESPARZA VEGA TALIA GUADALUPE</t>
  </si>
  <si>
    <t>LEÓN GARCIA MARTIN</t>
  </si>
  <si>
    <t>CAMACHO FLORES LUIS ALBERTO</t>
  </si>
  <si>
    <t>SUELDO MENSUAL</t>
  </si>
  <si>
    <t>(+) AGUINALDO GRAV.</t>
  </si>
  <si>
    <t>Base</t>
  </si>
  <si>
    <t>(-) Lim. Inferior</t>
  </si>
  <si>
    <t>(=) Excedente</t>
  </si>
  <si>
    <t>(x) Tasa</t>
  </si>
  <si>
    <t>(=) Imp. Marginal</t>
  </si>
  <si>
    <t>(+) cuota fija</t>
  </si>
  <si>
    <t>(=) Impuesto art 113</t>
  </si>
  <si>
    <t>(-) subsidio para el empleo</t>
  </si>
  <si>
    <t>IMPUESTO A CARGO</t>
  </si>
  <si>
    <t>ISPT A CARGO</t>
  </si>
  <si>
    <t>PADILLA FLORES MARCELA</t>
  </si>
  <si>
    <t>JIMENEZ VEGA FRANCISCO EDURDO</t>
  </si>
  <si>
    <t>LAMAS BAÑUELOS MARIA SANTOS</t>
  </si>
  <si>
    <t>ESPARZA RIOS ILIANA CRISTINA</t>
  </si>
  <si>
    <t>RODRIGUEZ GOMEZ RAFAEL</t>
  </si>
  <si>
    <t>LEÓN RUIZ LUIS ANTONIO</t>
  </si>
  <si>
    <t xml:space="preserve">Total </t>
  </si>
  <si>
    <t>Teresa de Jesus Gonzalez Carmona</t>
  </si>
  <si>
    <t xml:space="preserve">Jose de Jesus Gonzalez Rosales </t>
  </si>
  <si>
    <t xml:space="preserve">Jesus Evelia Almeida Valderrama </t>
  </si>
  <si>
    <t xml:space="preserve">Gloria Gonzalez Gutierrez </t>
  </si>
  <si>
    <t>Vannessa Carolina Flores Lopez</t>
  </si>
  <si>
    <t xml:space="preserve">Cesar Alberto Vega Peña </t>
  </si>
  <si>
    <t xml:space="preserve">Miguel Angel Salmeron Vega </t>
  </si>
  <si>
    <t xml:space="preserve">Agustin Gonzalez Piz </t>
  </si>
  <si>
    <t xml:space="preserve">Hector Alexander León Nuñez </t>
  </si>
  <si>
    <t>Ana Xochitl Topete Valdez</t>
  </si>
  <si>
    <t xml:space="preserve">Maricela Miramontes Morales </t>
  </si>
  <si>
    <t xml:space="preserve">Mejia Cortez Marco Antonio </t>
  </si>
  <si>
    <t xml:space="preserve">Olivaldo Cortez Rodriguez </t>
  </si>
  <si>
    <t xml:space="preserve">Hilda Guillemina Palacios Santiago </t>
  </si>
  <si>
    <t xml:space="preserve">Martha Caro Santiago </t>
  </si>
  <si>
    <t xml:space="preserve">Luz Nayeli Lopez Rubio </t>
  </si>
  <si>
    <t xml:space="preserve">Silva Flores Moises Ulises </t>
  </si>
  <si>
    <t>Juan Jose Sanchez Palacios</t>
  </si>
  <si>
    <t xml:space="preserve">Roberto Jimenez Cervantes </t>
  </si>
  <si>
    <t xml:space="preserve">Olivia Mendoza Lara </t>
  </si>
  <si>
    <t xml:space="preserve">Humberto Guerrero Gallardo </t>
  </si>
  <si>
    <t xml:space="preserve">Abraham Rodriguez Sandoval </t>
  </si>
  <si>
    <t xml:space="preserve">Jesus Teposte Reyes </t>
  </si>
  <si>
    <t xml:space="preserve">Francisco Macario Mayorga Corona </t>
  </si>
  <si>
    <t xml:space="preserve">Irma Macias Vega </t>
  </si>
  <si>
    <t xml:space="preserve">Salvador León Ruiz </t>
  </si>
  <si>
    <t xml:space="preserve">Vega Peña Cesar Alberto </t>
  </si>
  <si>
    <t xml:space="preserve">HACIENDA MUNICIPAL </t>
  </si>
  <si>
    <t>OBRAS PÚBLICAS</t>
  </si>
  <si>
    <t xml:space="preserve">SERVICIOS PÚBLICOS </t>
  </si>
  <si>
    <t xml:space="preserve">SERVICIOS MEDICOS </t>
  </si>
  <si>
    <t>TOTAL</t>
  </si>
  <si>
    <t xml:space="preserve">Diana Marisela Ulloa Colin </t>
  </si>
  <si>
    <t xml:space="preserve">Alix Dayanara Camacho Rojas </t>
  </si>
  <si>
    <t>Maria Elizabeht Zambrano Arriaga</t>
  </si>
  <si>
    <t>Antonio Alexis Chavez Zuñiga</t>
  </si>
  <si>
    <t xml:space="preserve">Juan Ocegueda Guerrero </t>
  </si>
  <si>
    <t xml:space="preserve">Jose Sabino Escobedo Rojas </t>
  </si>
  <si>
    <t xml:space="preserve">Ulises Lopez Flores </t>
  </si>
  <si>
    <t xml:space="preserve">Gregorio Castañeda Hernandez </t>
  </si>
  <si>
    <t xml:space="preserve">J. Felix Luna Perez </t>
  </si>
  <si>
    <t xml:space="preserve">Maria Luisa Villegas Murillo </t>
  </si>
  <si>
    <t xml:space="preserve">Hector Martin Castellano Buenrostro </t>
  </si>
  <si>
    <t xml:space="preserve">Adriana Nelyda Valdez Rosales </t>
  </si>
  <si>
    <t xml:space="preserve">Viridiana Rodriguez Briseño </t>
  </si>
  <si>
    <t>Marisol Galindo Llamas</t>
  </si>
  <si>
    <t xml:space="preserve">Susana Luna Cruz </t>
  </si>
  <si>
    <t xml:space="preserve">Juan Manuel de los Santos Jimenez </t>
  </si>
  <si>
    <t xml:space="preserve">Maria Cruz Lopez Flores </t>
  </si>
  <si>
    <t xml:space="preserve">Maria Guadalupe Moreno Cortez </t>
  </si>
  <si>
    <t xml:space="preserve">Belen Amezquita Zambrano </t>
  </si>
  <si>
    <t xml:space="preserve">Marcos de Jesus Gonzalez Caldera </t>
  </si>
  <si>
    <t xml:space="preserve">Alejandrta Guadalupe Rosales Gonzalez </t>
  </si>
  <si>
    <t xml:space="preserve">Jose Gutierrez Rodriguez </t>
  </si>
  <si>
    <t xml:space="preserve">Maria de Lourdes Vega León </t>
  </si>
  <si>
    <t xml:space="preserve">Josefina Rivera Gomez </t>
  </si>
  <si>
    <t xml:space="preserve">Jorge Alberto Caldera Solis </t>
  </si>
  <si>
    <t xml:space="preserve">Fabian Garcia Garcia </t>
  </si>
  <si>
    <t xml:space="preserve">Rafael Gonzalez Villareal </t>
  </si>
  <si>
    <t>Guillermo Ramon Corona Palacios</t>
  </si>
  <si>
    <t xml:space="preserve">Salvador Luna Perez </t>
  </si>
  <si>
    <t xml:space="preserve">Kevin Celaya Bañuelos </t>
  </si>
  <si>
    <t xml:space="preserve">Lluacet Alejandro Castañeda Vega </t>
  </si>
  <si>
    <t xml:space="preserve">Celso Lopez Arellano </t>
  </si>
  <si>
    <t xml:space="preserve">Juan Carlos Arellano Luna </t>
  </si>
  <si>
    <t xml:space="preserve">Enrique Rosales Perez </t>
  </si>
  <si>
    <t xml:space="preserve">Hector Covarrubias Arellano </t>
  </si>
  <si>
    <t xml:space="preserve">Genaro Tellez Ceseña </t>
  </si>
  <si>
    <t xml:space="preserve">Jose Alfredo Hernandez Amaya </t>
  </si>
  <si>
    <t xml:space="preserve">Salvador Alejndro Becerra Esparza </t>
  </si>
  <si>
    <t xml:space="preserve">Geronimo Antonio Gudiño Ayon </t>
  </si>
  <si>
    <t xml:space="preserve">Luis Enrique Monroy Hernandez </t>
  </si>
  <si>
    <t xml:space="preserve">Pedro Mendoza Covarrubias </t>
  </si>
  <si>
    <t xml:space="preserve">Fidel Orendain Lopez </t>
  </si>
  <si>
    <t xml:space="preserve">Ramiro Bravo Bañuelos </t>
  </si>
  <si>
    <t xml:space="preserve">Jose Asunción Jimenez Ponce </t>
  </si>
  <si>
    <t xml:space="preserve">Jose Feliciano Corona Flores </t>
  </si>
  <si>
    <t xml:space="preserve">Alejandro Flores Rubio </t>
  </si>
  <si>
    <t>Luis Pacheco Ocegueda</t>
  </si>
  <si>
    <t>Jose Hermes Altamirano Perez</t>
  </si>
  <si>
    <t>Jose Asunción Salinas Suarez</t>
  </si>
  <si>
    <t>Antonio Mendoza Covarrubias</t>
  </si>
  <si>
    <t xml:space="preserve">Geronimo Valdez Guzman </t>
  </si>
  <si>
    <t xml:space="preserve">Ocegueda Guerrero Lorenzo </t>
  </si>
  <si>
    <t xml:space="preserve">Ruben Hernandez Romero </t>
  </si>
  <si>
    <t xml:space="preserve">Fernando Garcia Garcia </t>
  </si>
  <si>
    <t>J. Antonio Bañuelos Bañuelos</t>
  </si>
  <si>
    <t xml:space="preserve">Mauricio Eugenio Esparza Martinez </t>
  </si>
  <si>
    <t xml:space="preserve">Agustin Flores Gutierrez </t>
  </si>
  <si>
    <t xml:space="preserve">M. Antonio Montes Zambrano </t>
  </si>
  <si>
    <t xml:space="preserve">Candelario Amezquita Llamas </t>
  </si>
  <si>
    <t xml:space="preserve">Martin Guadalupe Valdez Medina </t>
  </si>
  <si>
    <t xml:space="preserve">Geronimo Valle Gonzalez </t>
  </si>
  <si>
    <t>Javier Gonzalez Gutierrez</t>
  </si>
  <si>
    <t>Martiniano Lopez Corona</t>
  </si>
  <si>
    <t xml:space="preserve">Emiliano Lopez Arellano </t>
  </si>
  <si>
    <t xml:space="preserve">Gerardo Manzano Perez </t>
  </si>
  <si>
    <t xml:space="preserve">Jorge Arturo Gonzalez Garcia </t>
  </si>
  <si>
    <t xml:space="preserve">Juana León Garcia </t>
  </si>
  <si>
    <t xml:space="preserve">Roberto Avalos Torres </t>
  </si>
  <si>
    <t xml:space="preserve">Jorge Orendain Rubio </t>
  </si>
  <si>
    <t>M. Antonia Galindo Castañeda</t>
  </si>
  <si>
    <t xml:space="preserve">Karina Pardo Orozco </t>
  </si>
  <si>
    <t xml:space="preserve">Cuitlahuac Martinez Melendrez </t>
  </si>
  <si>
    <t>Catalina Galindo Rodriguez</t>
  </si>
  <si>
    <t xml:space="preserve">Miguel Carranza Bañuelos </t>
  </si>
  <si>
    <t>Oscar Peña Carrillo</t>
  </si>
  <si>
    <t xml:space="preserve">Jaime Rodriguez Navarro </t>
  </si>
  <si>
    <t xml:space="preserve">Ruben Celaya Lopez </t>
  </si>
  <si>
    <t xml:space="preserve">Daniel Gonzalez Macias </t>
  </si>
  <si>
    <t xml:space="preserve">J. Antonio Rubio Esqueda </t>
  </si>
  <si>
    <t>Angel Leonel Briseño Valderrama</t>
  </si>
  <si>
    <t>Pascual Gutierrez Mendoza</t>
  </si>
  <si>
    <t xml:space="preserve">Tomas Castañeda Frias </t>
  </si>
  <si>
    <t xml:space="preserve">Jorge Rayoza Moreno </t>
  </si>
  <si>
    <t>Yesenia Ramirez Gonzalez</t>
  </si>
  <si>
    <t xml:space="preserve">Isidro Guadalupe Martinez Serratos </t>
  </si>
  <si>
    <t xml:space="preserve">Manuel Gerardo Zuñiga Vejar </t>
  </si>
  <si>
    <t xml:space="preserve">Iliana Lara Zambrano </t>
  </si>
  <si>
    <t xml:space="preserve">Jose Isabel Santana Pasos </t>
  </si>
  <si>
    <t xml:space="preserve">Jose Guadalupe Castañeda Ortiz </t>
  </si>
  <si>
    <t xml:space="preserve">J. Jesus Agila Díaz </t>
  </si>
  <si>
    <t xml:space="preserve">Abel Arce Robles </t>
  </si>
  <si>
    <t xml:space="preserve">Carlos Enrique Tiznado Altamirano </t>
  </si>
  <si>
    <t xml:space="preserve">Gilberto Arjon Bañuelos </t>
  </si>
  <si>
    <t xml:space="preserve">Jose Miguel Celaya Sandoval </t>
  </si>
  <si>
    <t>Hector Daniel Solis Gama</t>
  </si>
  <si>
    <t xml:space="preserve">Mirna Esmeralda Quintano Jacobo </t>
  </si>
  <si>
    <t xml:space="preserve">Maria Castañeda Frias </t>
  </si>
  <si>
    <t xml:space="preserve">Ramiro Monroy Covarrubias </t>
  </si>
  <si>
    <t xml:space="preserve">Jose Juan Galindo Contreras </t>
  </si>
  <si>
    <t xml:space="preserve">Jahaziel Gutierrez Zuñiga </t>
  </si>
  <si>
    <t xml:space="preserve">Mayra Cordero Gutierrez </t>
  </si>
  <si>
    <t xml:space="preserve">Guillermo Celaya </t>
  </si>
  <si>
    <t xml:space="preserve">PROTECCIÓN CIVIL BASE </t>
  </si>
  <si>
    <t xml:space="preserve">SEGURIDAD PUBICA EVENTUAL </t>
  </si>
  <si>
    <t xml:space="preserve">PROTECCIÓN CIVIL EVENTUAL </t>
  </si>
  <si>
    <t xml:space="preserve">GONZALEZ VARELA FIDEL </t>
  </si>
  <si>
    <t xml:space="preserve">ENCARGADO DE BOMBA </t>
  </si>
  <si>
    <t xml:space="preserve">Gonzalez Varela Ramon </t>
  </si>
  <si>
    <t xml:space="preserve">Juan Ramon Tiznado Ayon </t>
  </si>
  <si>
    <t>Maria del Refugio Garcia Casillas</t>
  </si>
  <si>
    <t xml:space="preserve">Marcelino Valdez Villas </t>
  </si>
  <si>
    <t xml:space="preserve">Modesto Robles Chacon </t>
  </si>
  <si>
    <t xml:space="preserve">Pedro Ignacio Garcia Csillas </t>
  </si>
  <si>
    <t xml:space="preserve">Alfredo Montes Zambrano </t>
  </si>
  <si>
    <t xml:space="preserve">Venancio Ledezma Espinoza </t>
  </si>
  <si>
    <t xml:space="preserve">Fidel Gonzalez Varela </t>
  </si>
  <si>
    <t xml:space="preserve">Ruben Manzano Hidalgo </t>
  </si>
  <si>
    <t xml:space="preserve">Alvaro Carrillo Lopez </t>
  </si>
  <si>
    <t>Bryan Alberto Esquivel Hernandez</t>
  </si>
  <si>
    <t xml:space="preserve">PENSIÓN POR INVALIDEZ </t>
  </si>
  <si>
    <t>PENSION POR JUBILACIÓN</t>
  </si>
  <si>
    <t xml:space="preserve">TOTAL </t>
  </si>
  <si>
    <t xml:space="preserve">Ramon de Jesus Aguila Díaz </t>
  </si>
  <si>
    <t xml:space="preserve">ING. JOSE DE JESUS ROSALES GONZALEZ </t>
  </si>
  <si>
    <t xml:space="preserve">OFICIAL MAYOR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</si>
  <si>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</si>
  <si>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</si>
  <si>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</si>
  <si>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</si>
  <si>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Roberto Maldonado </t>
  </si>
  <si>
    <t xml:space="preserve">Miguel Angel Hidalgo </t>
  </si>
  <si>
    <t xml:space="preserve">GOBERNACIÓN </t>
  </si>
  <si>
    <t xml:space="preserve">A G U I N A L D O   N O M I N A   P E N S I O N A D O S </t>
  </si>
  <si>
    <t xml:space="preserve">David Rubio </t>
  </si>
  <si>
    <t xml:space="preserve">Palacios Medina Raquel </t>
  </si>
  <si>
    <t xml:space="preserve">Raquel Palacios Medina </t>
  </si>
  <si>
    <t>Pascual Gutiererz Mendoza</t>
  </si>
  <si>
    <t>Yesenia</t>
  </si>
  <si>
    <t xml:space="preserve"> Isidro Guadalupe</t>
  </si>
  <si>
    <t xml:space="preserve"> Manuel Gerardo</t>
  </si>
  <si>
    <t xml:space="preserve"> Jesus David</t>
  </si>
  <si>
    <t xml:space="preserve">Iliana </t>
  </si>
  <si>
    <t>Jose Isabel</t>
  </si>
  <si>
    <t xml:space="preserve"> Jose Guadalupe </t>
  </si>
  <si>
    <t xml:space="preserve">J. Jesus </t>
  </si>
  <si>
    <t xml:space="preserve">Abel </t>
  </si>
  <si>
    <t xml:space="preserve">Jose Juan </t>
  </si>
  <si>
    <t xml:space="preserve">Juan Carlos </t>
  </si>
  <si>
    <t xml:space="preserve">Alejandra Marlenne </t>
  </si>
  <si>
    <t xml:space="preserve"> Carlos Enrique </t>
  </si>
  <si>
    <t xml:space="preserve">Cecilia </t>
  </si>
  <si>
    <t xml:space="preserve">Gilberto </t>
  </si>
  <si>
    <t xml:space="preserve"> Jose Miguel</t>
  </si>
  <si>
    <t xml:space="preserve">Hector Daniel </t>
  </si>
  <si>
    <t xml:space="preserve">Christian </t>
  </si>
  <si>
    <t xml:space="preserve">Carlos Alberto </t>
  </si>
  <si>
    <t xml:space="preserve"> Ramón de Jesus </t>
  </si>
  <si>
    <t xml:space="preserve">Quintano Jacobo </t>
  </si>
  <si>
    <t xml:space="preserve">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</si>
</sst>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4" fontId="2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0" fontId="0" fillId="0" borderId="0" xfId="0" applyNumberFormat="1"/>
    <xf numFmtId="4" fontId="3" fillId="0" borderId="0" xfId="0" applyNumberFormat="1" applyFont="1"/>
    <xf numFmtId="0" fontId="0" fillId="0" borderId="6" xfId="0" applyBorder="1"/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vertical="center"/>
    </xf>
    <xf numFmtId="44" fontId="0" fillId="0" borderId="6" xfId="1" applyFont="1" applyBorder="1" applyAlignment="1">
      <alignment vertical="center"/>
    </xf>
    <xf numFmtId="44" fontId="0" fillId="0" borderId="6" xfId="0" applyNumberFormat="1" applyBorder="1" applyAlignment="1">
      <alignment vertical="center"/>
    </xf>
    <xf numFmtId="44" fontId="4" fillId="2" borderId="0" xfId="0" applyNumberFormat="1" applyFont="1" applyFill="1"/>
    <xf numFmtId="0" fontId="4" fillId="2" borderId="0" xfId="0" applyFont="1" applyFill="1"/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0" fillId="0" borderId="5" xfId="0" applyBorder="1"/>
    <xf numFmtId="43" fontId="0" fillId="0" borderId="6" xfId="2" applyFont="1" applyBorder="1" applyAlignment="1">
      <alignment vertical="center"/>
    </xf>
    <xf numFmtId="0" fontId="0" fillId="0" borderId="6" xfId="0" applyBorder="1" applyAlignment="1">
      <alignment vertical="center" wrapText="1"/>
    </xf>
    <xf numFmtId="1" fontId="0" fillId="0" borderId="6" xfId="0" applyNumberFormat="1" applyBorder="1" applyAlignment="1">
      <alignment horizontal="center" vertical="center"/>
    </xf>
    <xf numFmtId="44" fontId="6" fillId="2" borderId="0" xfId="0" applyNumberFormat="1" applyFont="1" applyFill="1"/>
    <xf numFmtId="0" fontId="6" fillId="2" borderId="0" xfId="0" applyFont="1" applyFill="1"/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44" fontId="0" fillId="0" borderId="0" xfId="1" applyFont="1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/>
    <xf numFmtId="0" fontId="0" fillId="0" borderId="0" xfId="0" applyAlignment="1">
      <alignment vertical="center"/>
    </xf>
    <xf numFmtId="43" fontId="0" fillId="0" borderId="0" xfId="2" applyFont="1" applyBorder="1" applyAlignment="1">
      <alignment vertical="center"/>
    </xf>
    <xf numFmtId="44" fontId="0" fillId="0" borderId="0" xfId="0" applyNumberFormat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44" fontId="0" fillId="0" borderId="14" xfId="1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44" fontId="0" fillId="0" borderId="14" xfId="0" applyNumberFormat="1" applyBorder="1" applyAlignment="1">
      <alignment vertical="center"/>
    </xf>
    <xf numFmtId="0" fontId="0" fillId="0" borderId="15" xfId="0" applyBorder="1"/>
    <xf numFmtId="44" fontId="6" fillId="2" borderId="0" xfId="1" applyFont="1" applyFill="1"/>
    <xf numFmtId="0" fontId="6" fillId="0" borderId="0" xfId="0" applyFont="1"/>
    <xf numFmtId="0" fontId="0" fillId="0" borderId="5" xfId="0" applyBorder="1" applyAlignment="1">
      <alignment vertical="center"/>
    </xf>
    <xf numFmtId="0" fontId="0" fillId="0" borderId="12" xfId="0" applyBorder="1" applyAlignment="1">
      <alignment vertical="center"/>
    </xf>
    <xf numFmtId="43" fontId="0" fillId="0" borderId="14" xfId="2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vertical="center"/>
    </xf>
    <xf numFmtId="43" fontId="0" fillId="0" borderId="2" xfId="2" applyFont="1" applyBorder="1" applyAlignment="1">
      <alignment vertical="center"/>
    </xf>
    <xf numFmtId="44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vertical="center"/>
    </xf>
    <xf numFmtId="44" fontId="0" fillId="0" borderId="16" xfId="1" applyFont="1" applyBorder="1" applyAlignment="1">
      <alignment vertical="center"/>
    </xf>
    <xf numFmtId="44" fontId="0" fillId="0" borderId="16" xfId="0" applyNumberFormat="1" applyBorder="1" applyAlignment="1">
      <alignment vertical="center"/>
    </xf>
    <xf numFmtId="43" fontId="0" fillId="0" borderId="16" xfId="2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/>
    <xf numFmtId="0" fontId="0" fillId="3" borderId="5" xfId="0" applyFill="1" applyBorder="1"/>
    <xf numFmtId="0" fontId="11" fillId="0" borderId="0" xfId="0" applyFont="1"/>
    <xf numFmtId="44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44" fontId="0" fillId="0" borderId="6" xfId="1" applyFont="1" applyFill="1" applyBorder="1" applyAlignment="1">
      <alignment vertical="center"/>
    </xf>
    <xf numFmtId="43" fontId="0" fillId="0" borderId="6" xfId="2" applyFont="1" applyFill="1" applyBorder="1" applyAlignment="1">
      <alignment vertic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vertical="center"/>
    </xf>
    <xf numFmtId="44" fontId="0" fillId="0" borderId="23" xfId="1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24" xfId="0" applyBorder="1"/>
    <xf numFmtId="43" fontId="0" fillId="0" borderId="0" xfId="2" applyFont="1" applyBorder="1"/>
    <xf numFmtId="43" fontId="0" fillId="0" borderId="23" xfId="2" applyFont="1" applyBorder="1" applyAlignment="1">
      <alignment vertical="center"/>
    </xf>
    <xf numFmtId="0" fontId="0" fillId="0" borderId="4" xfId="0" applyBorder="1"/>
    <xf numFmtId="43" fontId="0" fillId="3" borderId="0" xfId="2" applyFont="1" applyFill="1" applyBorder="1"/>
    <xf numFmtId="0" fontId="0" fillId="3" borderId="0" xfId="0" applyFill="1" applyAlignment="1">
      <alignment vertical="center"/>
    </xf>
    <xf numFmtId="0" fontId="0" fillId="0" borderId="4" xfId="0" applyBorder="1" applyAlignment="1">
      <alignment vertical="center"/>
    </xf>
    <xf numFmtId="44" fontId="0" fillId="0" borderId="0" xfId="1" applyFont="1" applyFill="1" applyBorder="1" applyAlignment="1">
      <alignment vertical="center"/>
    </xf>
    <xf numFmtId="43" fontId="0" fillId="0" borderId="0" xfId="2" applyFont="1" applyFill="1" applyBorder="1" applyAlignment="1">
      <alignment vertical="center"/>
    </xf>
    <xf numFmtId="44" fontId="0" fillId="0" borderId="0" xfId="0" applyNumberFormat="1"/>
    <xf numFmtId="0" fontId="0" fillId="3" borderId="0" xfId="0" applyFill="1"/>
    <xf numFmtId="44" fontId="0" fillId="3" borderId="0" xfId="0" applyNumberFormat="1" applyFill="1"/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4" fontId="2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left" vertical="center"/>
    </xf>
    <xf numFmtId="0" fontId="2" fillId="3" borderId="8" xfId="0" applyFont="1" applyFill="1" applyBorder="1" applyAlignment="1">
      <alignment horizontal="left" vertical="center"/>
    </xf>
    <xf numFmtId="0" fontId="2" fillId="3" borderId="9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2" fillId="3" borderId="7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 vertical="center"/>
    </xf>
    <xf numFmtId="0" fontId="2" fillId="3" borderId="20" xfId="0" applyFont="1" applyFill="1" applyBorder="1" applyAlignment="1">
      <alignment horizontal="left" vertical="center"/>
    </xf>
    <xf numFmtId="0" fontId="2" fillId="3" borderId="21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9525</xdr:rowOff>
    </xdr:from>
    <xdr:to>
      <xdr:col>1</xdr:col>
      <xdr:colOff>628650</xdr:colOff>
      <xdr:row>1</xdr:row>
      <xdr:rowOff>399781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DD0519-9B65-4687-9F22-C56E876C2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072" r="18073"/>
        <a:stretch/>
      </xdr:blipFill>
      <xdr:spPr>
        <a:xfrm>
          <a:off x="19050" y="9525"/>
          <a:ext cx="1000125" cy="980806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619126</xdr:colOff>
      <xdr:row>0</xdr:row>
      <xdr:rowOff>9525</xdr:rowOff>
    </xdr:from>
    <xdr:to>
      <xdr:col>2</xdr:col>
      <xdr:colOff>334730</xdr:colOff>
      <xdr:row>1</xdr:row>
      <xdr:rowOff>400050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6D4336-E84E-4D70-BFC4-6D2383236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09651" y="9525"/>
          <a:ext cx="1811104" cy="981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24740</xdr:colOff>
      <xdr:row>0</xdr:row>
      <xdr:rowOff>37110</xdr:rowOff>
    </xdr:from>
    <xdr:to>
      <xdr:col>1</xdr:col>
      <xdr:colOff>542925</xdr:colOff>
      <xdr:row>1</xdr:row>
      <xdr:rowOff>259772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2C655F-F3EB-47DB-9C3C-E6EC0B472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072" r="18073"/>
        <a:stretch/>
      </xdr:blipFill>
      <xdr:spPr>
        <a:xfrm>
          <a:off x="24740" y="37110"/>
          <a:ext cx="914029" cy="86590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544286</xdr:colOff>
      <xdr:row>0</xdr:row>
      <xdr:rowOff>38099</xdr:rowOff>
    </xdr:from>
    <xdr:to>
      <xdr:col>1</xdr:col>
      <xdr:colOff>2115292</xdr:colOff>
      <xdr:row>1</xdr:row>
      <xdr:rowOff>259772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0B5060-0B32-4417-8AF1-583708768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940130" y="38099"/>
          <a:ext cx="1571006" cy="864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22412</xdr:rowOff>
    </xdr:from>
    <xdr:to>
      <xdr:col>1</xdr:col>
      <xdr:colOff>600075</xdr:colOff>
      <xdr:row>1</xdr:row>
      <xdr:rowOff>364526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B62132F-36A6-4C41-BC66-13BB177FF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072" r="18073"/>
        <a:stretch/>
      </xdr:blipFill>
      <xdr:spPr>
        <a:xfrm>
          <a:off x="57151" y="22412"/>
          <a:ext cx="935130" cy="891202"/>
        </a:xfrm>
        <a:prstGeom prst="rect">
          <a:avLst/>
        </a:prstGeom>
      </xdr:spPr>
    </xdr:pic>
    <xdr:clientData/>
  </xdr:twoCellAnchor>
  <xdr:twoCellAnchor editAs="oneCell">
    <xdr:from>
      <xdr:col>1</xdr:col>
      <xdr:colOff>591112</xdr:colOff>
      <xdr:row>0</xdr:row>
      <xdr:rowOff>22412</xdr:rowOff>
    </xdr:from>
    <xdr:to>
      <xdr:col>1</xdr:col>
      <xdr:colOff>2048436</xdr:colOff>
      <xdr:row>1</xdr:row>
      <xdr:rowOff>369794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23A2A49-E193-4C3C-9CA9-7C63AB6FBB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983318" y="22412"/>
          <a:ext cx="1457324" cy="8964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30556</xdr:colOff>
      <xdr:row>0</xdr:row>
      <xdr:rowOff>24740</xdr:rowOff>
    </xdr:from>
    <xdr:to>
      <xdr:col>1</xdr:col>
      <xdr:colOff>556655</xdr:colOff>
      <xdr:row>1</xdr:row>
      <xdr:rowOff>348736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C00148-B005-44A9-BFFC-A44AC98DD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072" r="18073"/>
        <a:stretch/>
      </xdr:blipFill>
      <xdr:spPr>
        <a:xfrm>
          <a:off x="30556" y="24740"/>
          <a:ext cx="946683" cy="893022"/>
        </a:xfrm>
        <a:prstGeom prst="rect">
          <a:avLst/>
        </a:prstGeom>
      </xdr:spPr>
    </xdr:pic>
    <xdr:clientData/>
  </xdr:twoCellAnchor>
  <xdr:twoCellAnchor editAs="oneCell">
    <xdr:from>
      <xdr:col>1</xdr:col>
      <xdr:colOff>562289</xdr:colOff>
      <xdr:row>0</xdr:row>
      <xdr:rowOff>24740</xdr:rowOff>
    </xdr:from>
    <xdr:to>
      <xdr:col>1</xdr:col>
      <xdr:colOff>2043346</xdr:colOff>
      <xdr:row>1</xdr:row>
      <xdr:rowOff>346365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2C4F48-0941-4F4F-9F0F-1D9A9008FD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982873" y="24740"/>
          <a:ext cx="1481057" cy="8906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37110</xdr:colOff>
      <xdr:row>0</xdr:row>
      <xdr:rowOff>37110</xdr:rowOff>
    </xdr:from>
    <xdr:to>
      <xdr:col>1</xdr:col>
      <xdr:colOff>636882</xdr:colOff>
      <xdr:row>1</xdr:row>
      <xdr:rowOff>247650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C76E23B-2E06-46E1-AD6B-3BC62881F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072" r="18073"/>
        <a:stretch/>
      </xdr:blipFill>
      <xdr:spPr>
        <a:xfrm>
          <a:off x="37110" y="37110"/>
          <a:ext cx="946136" cy="816676"/>
        </a:xfrm>
        <a:prstGeom prst="rect">
          <a:avLst/>
        </a:prstGeom>
      </xdr:spPr>
    </xdr:pic>
    <xdr:clientData/>
  </xdr:twoCellAnchor>
  <xdr:twoCellAnchor editAs="oneCell">
    <xdr:from>
      <xdr:col>1</xdr:col>
      <xdr:colOff>556655</xdr:colOff>
      <xdr:row>0</xdr:row>
      <xdr:rowOff>37111</xdr:rowOff>
    </xdr:from>
    <xdr:to>
      <xdr:col>1</xdr:col>
      <xdr:colOff>1947925</xdr:colOff>
      <xdr:row>1</xdr:row>
      <xdr:rowOff>247403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946BD20-2A2C-473C-885B-7253F4B57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903019" y="37111"/>
          <a:ext cx="1391270" cy="816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33F7F-AF60-4080-B45A-14EA950F44EF}">
  <dimension ref="A1:Q14"/>
  <sheetViews>
    <sheetView workbookViewId="0">
      <selection activeCell="N15" sqref="N15"/>
    </sheetView>
  </sheetViews>
  <sheetFormatPr baseColWidth="10" defaultRowHeight="15" x14ac:dyDescent="0.25"/>
  <cols>
    <col min="1" max="1" width="5.85546875" customWidth="1"/>
    <col min="2" max="2" width="31.42578125" customWidth="1"/>
    <col min="4" max="4" width="13.5703125" customWidth="1"/>
    <col min="6" max="6" width="13.5703125" customWidth="1"/>
    <col min="8" max="8" width="16" customWidth="1"/>
    <col min="11" max="11" width="12.5703125" bestFit="1" customWidth="1"/>
    <col min="12" max="12" width="17.140625" customWidth="1"/>
    <col min="13" max="13" width="14.28515625" customWidth="1"/>
    <col min="14" max="14" width="12.5703125" bestFit="1" customWidth="1"/>
    <col min="15" max="15" width="18.85546875" customWidth="1"/>
    <col min="16" max="16" width="16.5703125" customWidth="1"/>
    <col min="17" max="17" width="31.140625" customWidth="1"/>
  </cols>
  <sheetData>
    <row r="1" spans="1:17" ht="46.5" customHeight="1" x14ac:dyDescent="0.25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8"/>
    </row>
    <row r="2" spans="1:17" ht="32.25" customHeight="1" x14ac:dyDescent="0.25">
      <c r="A2" s="89" t="s">
        <v>244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1"/>
    </row>
    <row r="3" spans="1:17" ht="30" x14ac:dyDescent="0.25">
      <c r="A3" s="10" t="s">
        <v>1</v>
      </c>
      <c r="B3" s="8" t="s">
        <v>2</v>
      </c>
      <c r="C3" s="8" t="s">
        <v>3</v>
      </c>
      <c r="D3" s="9" t="s">
        <v>4</v>
      </c>
      <c r="E3" s="9" t="s">
        <v>5</v>
      </c>
      <c r="F3" s="9" t="s">
        <v>6</v>
      </c>
      <c r="G3" s="8" t="s">
        <v>7</v>
      </c>
      <c r="H3" s="9" t="s">
        <v>8</v>
      </c>
      <c r="I3" s="9" t="s">
        <v>9</v>
      </c>
      <c r="J3" s="9" t="s">
        <v>10</v>
      </c>
      <c r="K3" s="9" t="s">
        <v>11</v>
      </c>
      <c r="L3" s="9" t="s">
        <v>12</v>
      </c>
      <c r="M3" s="9" t="s">
        <v>13</v>
      </c>
      <c r="N3" s="8" t="s">
        <v>14</v>
      </c>
      <c r="O3" s="9" t="s">
        <v>15</v>
      </c>
      <c r="P3" s="9" t="s">
        <v>16</v>
      </c>
      <c r="Q3" s="11" t="s">
        <v>17</v>
      </c>
    </row>
    <row r="4" spans="1:17" ht="25.5" customHeight="1" x14ac:dyDescent="0.25">
      <c r="A4" s="12">
        <v>1</v>
      </c>
      <c r="B4" s="13" t="s">
        <v>18</v>
      </c>
      <c r="C4" s="13" t="s">
        <v>28</v>
      </c>
      <c r="D4" s="14">
        <v>12350</v>
      </c>
      <c r="E4" s="14">
        <f>D4*2/30.4</f>
        <v>812.5</v>
      </c>
      <c r="F4" s="12">
        <f>31+28+31+30+31+30+31+31+30+31+30+31</f>
        <v>365</v>
      </c>
      <c r="G4" s="12">
        <f>F4*50/365</f>
        <v>50</v>
      </c>
      <c r="H4" s="15">
        <f>E4*G4</f>
        <v>40625</v>
      </c>
      <c r="I4" s="14">
        <f>F4*30/365*96.22</f>
        <v>2886.6</v>
      </c>
      <c r="J4" s="15">
        <f>H4-I4</f>
        <v>37738.400000000001</v>
      </c>
      <c r="K4" s="14">
        <v>10116.217128000002</v>
      </c>
      <c r="L4" s="15">
        <f>H4+K4</f>
        <v>50741.217128000004</v>
      </c>
      <c r="M4" s="13"/>
      <c r="N4" s="15">
        <f>K4</f>
        <v>10116.217128000002</v>
      </c>
      <c r="O4" s="15">
        <f>N4</f>
        <v>10116.217128000002</v>
      </c>
      <c r="P4" s="15">
        <f>L4-N4</f>
        <v>40625</v>
      </c>
      <c r="Q4" s="7"/>
    </row>
    <row r="5" spans="1:17" ht="25.5" customHeight="1" x14ac:dyDescent="0.25">
      <c r="A5" s="12">
        <v>2</v>
      </c>
      <c r="B5" s="13" t="s">
        <v>19</v>
      </c>
      <c r="C5" s="13" t="s">
        <v>28</v>
      </c>
      <c r="D5" s="14">
        <v>12350</v>
      </c>
      <c r="E5" s="14">
        <f t="shared" ref="E5:E13" si="0">D5*2/30.4</f>
        <v>812.5</v>
      </c>
      <c r="F5" s="12">
        <f t="shared" ref="F5:F12" si="1">31+28+31+30+31+30+31+31+30+31+30+31</f>
        <v>365</v>
      </c>
      <c r="G5" s="12">
        <f t="shared" ref="G5:G13" si="2">F5*50/365</f>
        <v>50</v>
      </c>
      <c r="H5" s="15">
        <f t="shared" ref="H5:H13" si="3">E5*G5</f>
        <v>40625</v>
      </c>
      <c r="I5" s="14">
        <f t="shared" ref="I5:I13" si="4">F5*30/365*96.22</f>
        <v>2886.6</v>
      </c>
      <c r="J5" s="15">
        <f t="shared" ref="J5:J13" si="5">H5-I5</f>
        <v>37738.400000000001</v>
      </c>
      <c r="K5" s="14">
        <v>10116.217128000002</v>
      </c>
      <c r="L5" s="15">
        <f t="shared" ref="L5:L13" si="6">H5+K5</f>
        <v>50741.217128000004</v>
      </c>
      <c r="M5" s="13"/>
      <c r="N5" s="15">
        <f t="shared" ref="N5:N12" si="7">K5</f>
        <v>10116.217128000002</v>
      </c>
      <c r="O5" s="15">
        <f t="shared" ref="O5:O13" si="8">N5</f>
        <v>10116.217128000002</v>
      </c>
      <c r="P5" s="15">
        <f t="shared" ref="P5:P13" si="9">L5-N5</f>
        <v>40625</v>
      </c>
      <c r="Q5" s="7"/>
    </row>
    <row r="6" spans="1:17" ht="25.5" customHeight="1" x14ac:dyDescent="0.25">
      <c r="A6" s="12">
        <v>3</v>
      </c>
      <c r="B6" s="13" t="s">
        <v>20</v>
      </c>
      <c r="C6" s="13" t="s">
        <v>28</v>
      </c>
      <c r="D6" s="14">
        <v>12350</v>
      </c>
      <c r="E6" s="14">
        <f t="shared" si="0"/>
        <v>812.5</v>
      </c>
      <c r="F6" s="12">
        <f t="shared" si="1"/>
        <v>365</v>
      </c>
      <c r="G6" s="12">
        <f t="shared" si="2"/>
        <v>50</v>
      </c>
      <c r="H6" s="15">
        <f t="shared" si="3"/>
        <v>40625</v>
      </c>
      <c r="I6" s="14">
        <f t="shared" si="4"/>
        <v>2886.6</v>
      </c>
      <c r="J6" s="15">
        <f t="shared" si="5"/>
        <v>37738.400000000001</v>
      </c>
      <c r="K6" s="14">
        <v>10116.217128000002</v>
      </c>
      <c r="L6" s="15">
        <f t="shared" si="6"/>
        <v>50741.217128000004</v>
      </c>
      <c r="M6" s="13"/>
      <c r="N6" s="15">
        <f t="shared" si="7"/>
        <v>10116.217128000002</v>
      </c>
      <c r="O6" s="15">
        <f t="shared" si="8"/>
        <v>10116.217128000002</v>
      </c>
      <c r="P6" s="15">
        <f t="shared" si="9"/>
        <v>40625</v>
      </c>
      <c r="Q6" s="7"/>
    </row>
    <row r="7" spans="1:17" ht="25.5" customHeight="1" x14ac:dyDescent="0.25">
      <c r="A7" s="12">
        <v>4</v>
      </c>
      <c r="B7" s="13" t="s">
        <v>21</v>
      </c>
      <c r="C7" s="13" t="s">
        <v>28</v>
      </c>
      <c r="D7" s="14">
        <v>12350</v>
      </c>
      <c r="E7" s="14">
        <f t="shared" si="0"/>
        <v>812.5</v>
      </c>
      <c r="F7" s="12">
        <f t="shared" si="1"/>
        <v>365</v>
      </c>
      <c r="G7" s="12">
        <f t="shared" si="2"/>
        <v>50</v>
      </c>
      <c r="H7" s="15">
        <f t="shared" si="3"/>
        <v>40625</v>
      </c>
      <c r="I7" s="14">
        <f t="shared" si="4"/>
        <v>2886.6</v>
      </c>
      <c r="J7" s="15">
        <f t="shared" si="5"/>
        <v>37738.400000000001</v>
      </c>
      <c r="K7" s="14">
        <v>10116.217128000002</v>
      </c>
      <c r="L7" s="15">
        <f t="shared" si="6"/>
        <v>50741.217128000004</v>
      </c>
      <c r="M7" s="13"/>
      <c r="N7" s="15">
        <f t="shared" si="7"/>
        <v>10116.217128000002</v>
      </c>
      <c r="O7" s="15">
        <f t="shared" si="8"/>
        <v>10116.217128000002</v>
      </c>
      <c r="P7" s="15">
        <f t="shared" si="9"/>
        <v>40625</v>
      </c>
      <c r="Q7" s="7"/>
    </row>
    <row r="8" spans="1:17" ht="25.5" customHeight="1" x14ac:dyDescent="0.25">
      <c r="A8" s="12">
        <v>5</v>
      </c>
      <c r="B8" s="13" t="s">
        <v>22</v>
      </c>
      <c r="C8" s="13" t="s">
        <v>28</v>
      </c>
      <c r="D8" s="14">
        <v>12350</v>
      </c>
      <c r="E8" s="14">
        <f t="shared" si="0"/>
        <v>812.5</v>
      </c>
      <c r="F8" s="12">
        <f t="shared" si="1"/>
        <v>365</v>
      </c>
      <c r="G8" s="12">
        <f t="shared" si="2"/>
        <v>50</v>
      </c>
      <c r="H8" s="15">
        <f t="shared" si="3"/>
        <v>40625</v>
      </c>
      <c r="I8" s="14">
        <f t="shared" si="4"/>
        <v>2886.6</v>
      </c>
      <c r="J8" s="15">
        <f t="shared" si="5"/>
        <v>37738.400000000001</v>
      </c>
      <c r="K8" s="14">
        <v>10116.217128000002</v>
      </c>
      <c r="L8" s="15">
        <f t="shared" si="6"/>
        <v>50741.217128000004</v>
      </c>
      <c r="M8" s="13"/>
      <c r="N8" s="15">
        <f t="shared" si="7"/>
        <v>10116.217128000002</v>
      </c>
      <c r="O8" s="15">
        <f t="shared" si="8"/>
        <v>10116.217128000002</v>
      </c>
      <c r="P8" s="15">
        <f t="shared" si="9"/>
        <v>40625</v>
      </c>
      <c r="Q8" s="7"/>
    </row>
    <row r="9" spans="1:17" ht="25.5" customHeight="1" x14ac:dyDescent="0.25">
      <c r="A9" s="12">
        <v>6</v>
      </c>
      <c r="B9" s="13" t="s">
        <v>23</v>
      </c>
      <c r="C9" s="13" t="s">
        <v>28</v>
      </c>
      <c r="D9" s="14">
        <v>12350</v>
      </c>
      <c r="E9" s="14">
        <f t="shared" si="0"/>
        <v>812.5</v>
      </c>
      <c r="F9" s="12">
        <f t="shared" si="1"/>
        <v>365</v>
      </c>
      <c r="G9" s="12">
        <f t="shared" si="2"/>
        <v>50</v>
      </c>
      <c r="H9" s="15">
        <f t="shared" si="3"/>
        <v>40625</v>
      </c>
      <c r="I9" s="14">
        <f t="shared" si="4"/>
        <v>2886.6</v>
      </c>
      <c r="J9" s="15">
        <f t="shared" si="5"/>
        <v>37738.400000000001</v>
      </c>
      <c r="K9" s="14">
        <v>10116.217128000002</v>
      </c>
      <c r="L9" s="15">
        <f t="shared" si="6"/>
        <v>50741.217128000004</v>
      </c>
      <c r="M9" s="13"/>
      <c r="N9" s="15">
        <f t="shared" si="7"/>
        <v>10116.217128000002</v>
      </c>
      <c r="O9" s="15">
        <f t="shared" si="8"/>
        <v>10116.217128000002</v>
      </c>
      <c r="P9" s="15">
        <f t="shared" si="9"/>
        <v>40625</v>
      </c>
      <c r="Q9" s="7"/>
    </row>
    <row r="10" spans="1:17" ht="25.5" customHeight="1" x14ac:dyDescent="0.25">
      <c r="A10" s="12">
        <v>7</v>
      </c>
      <c r="B10" s="13" t="s">
        <v>24</v>
      </c>
      <c r="C10" s="13" t="s">
        <v>28</v>
      </c>
      <c r="D10" s="14">
        <v>12350</v>
      </c>
      <c r="E10" s="14">
        <f t="shared" si="0"/>
        <v>812.5</v>
      </c>
      <c r="F10" s="12">
        <f t="shared" si="1"/>
        <v>365</v>
      </c>
      <c r="G10" s="12">
        <f t="shared" si="2"/>
        <v>50</v>
      </c>
      <c r="H10" s="15">
        <f t="shared" si="3"/>
        <v>40625</v>
      </c>
      <c r="I10" s="14">
        <f t="shared" si="4"/>
        <v>2886.6</v>
      </c>
      <c r="J10" s="15">
        <f t="shared" si="5"/>
        <v>37738.400000000001</v>
      </c>
      <c r="K10" s="14">
        <v>10116.217128000002</v>
      </c>
      <c r="L10" s="15">
        <f t="shared" si="6"/>
        <v>50741.217128000004</v>
      </c>
      <c r="M10" s="13"/>
      <c r="N10" s="15">
        <f t="shared" si="7"/>
        <v>10116.217128000002</v>
      </c>
      <c r="O10" s="15">
        <f t="shared" si="8"/>
        <v>10116.217128000002</v>
      </c>
      <c r="P10" s="15">
        <f t="shared" si="9"/>
        <v>40625</v>
      </c>
      <c r="Q10" s="7"/>
    </row>
    <row r="11" spans="1:17" ht="25.5" customHeight="1" x14ac:dyDescent="0.25">
      <c r="A11" s="12">
        <v>8</v>
      </c>
      <c r="B11" s="13" t="s">
        <v>25</v>
      </c>
      <c r="C11" s="13" t="s">
        <v>28</v>
      </c>
      <c r="D11" s="14">
        <v>12350</v>
      </c>
      <c r="E11" s="14">
        <f t="shared" si="0"/>
        <v>812.5</v>
      </c>
      <c r="F11" s="12">
        <f t="shared" si="1"/>
        <v>365</v>
      </c>
      <c r="G11" s="12">
        <f t="shared" si="2"/>
        <v>50</v>
      </c>
      <c r="H11" s="15">
        <f t="shared" si="3"/>
        <v>40625</v>
      </c>
      <c r="I11" s="14">
        <f t="shared" si="4"/>
        <v>2886.6</v>
      </c>
      <c r="J11" s="15">
        <f t="shared" si="5"/>
        <v>37738.400000000001</v>
      </c>
      <c r="K11" s="14">
        <v>10116.217128000002</v>
      </c>
      <c r="L11" s="15">
        <f t="shared" si="6"/>
        <v>50741.217128000004</v>
      </c>
      <c r="M11" s="13"/>
      <c r="N11" s="15">
        <f t="shared" si="7"/>
        <v>10116.217128000002</v>
      </c>
      <c r="O11" s="15">
        <f t="shared" si="8"/>
        <v>10116.217128000002</v>
      </c>
      <c r="P11" s="15">
        <f t="shared" si="9"/>
        <v>40625</v>
      </c>
      <c r="Q11" s="7"/>
    </row>
    <row r="12" spans="1:17" ht="25.5" customHeight="1" x14ac:dyDescent="0.25">
      <c r="A12" s="12">
        <v>9</v>
      </c>
      <c r="B12" s="13" t="s">
        <v>26</v>
      </c>
      <c r="C12" s="13" t="s">
        <v>28</v>
      </c>
      <c r="D12" s="14">
        <v>12350</v>
      </c>
      <c r="E12" s="14">
        <f t="shared" si="0"/>
        <v>812.5</v>
      </c>
      <c r="F12" s="12">
        <f t="shared" si="1"/>
        <v>365</v>
      </c>
      <c r="G12" s="12">
        <f t="shared" si="2"/>
        <v>50</v>
      </c>
      <c r="H12" s="15">
        <f t="shared" si="3"/>
        <v>40625</v>
      </c>
      <c r="I12" s="14">
        <f t="shared" si="4"/>
        <v>2886.6</v>
      </c>
      <c r="J12" s="15">
        <f t="shared" si="5"/>
        <v>37738.400000000001</v>
      </c>
      <c r="K12" s="14">
        <v>10116.217128000002</v>
      </c>
      <c r="L12" s="15">
        <f t="shared" si="6"/>
        <v>50741.217128000004</v>
      </c>
      <c r="M12" s="13"/>
      <c r="N12" s="15">
        <f t="shared" si="7"/>
        <v>10116.217128000002</v>
      </c>
      <c r="O12" s="15">
        <f t="shared" si="8"/>
        <v>10116.217128000002</v>
      </c>
      <c r="P12" s="15">
        <f t="shared" si="9"/>
        <v>40625</v>
      </c>
      <c r="Q12" s="7"/>
    </row>
    <row r="13" spans="1:17" ht="25.5" customHeight="1" x14ac:dyDescent="0.25">
      <c r="A13" s="12">
        <v>10</v>
      </c>
      <c r="B13" s="13" t="s">
        <v>27</v>
      </c>
      <c r="C13" s="13" t="s">
        <v>28</v>
      </c>
      <c r="D13" s="14">
        <v>12350</v>
      </c>
      <c r="E13" s="14">
        <f t="shared" si="0"/>
        <v>812.5</v>
      </c>
      <c r="F13" s="12">
        <f>31+28+31+30+31+30+31+31+30+31+30+31</f>
        <v>365</v>
      </c>
      <c r="G13" s="12">
        <f t="shared" si="2"/>
        <v>50</v>
      </c>
      <c r="H13" s="15">
        <f t="shared" si="3"/>
        <v>40625</v>
      </c>
      <c r="I13" s="14">
        <f t="shared" si="4"/>
        <v>2886.6</v>
      </c>
      <c r="J13" s="15">
        <f t="shared" si="5"/>
        <v>37738.400000000001</v>
      </c>
      <c r="K13" s="14">
        <v>10116.217128000002</v>
      </c>
      <c r="L13" s="15">
        <f t="shared" si="6"/>
        <v>50741.217128000004</v>
      </c>
      <c r="M13" s="13"/>
      <c r="N13" s="15">
        <f>K13</f>
        <v>10116.217128000002</v>
      </c>
      <c r="O13" s="15">
        <f t="shared" si="8"/>
        <v>10116.217128000002</v>
      </c>
      <c r="P13" s="15">
        <f t="shared" si="9"/>
        <v>40625</v>
      </c>
      <c r="Q13" s="7"/>
    </row>
    <row r="14" spans="1:17" x14ac:dyDescent="0.25">
      <c r="A14" s="92" t="s">
        <v>267</v>
      </c>
      <c r="B14" s="92"/>
      <c r="C14" s="92"/>
      <c r="D14" s="16">
        <f>SUM(D4:D13)</f>
        <v>123500</v>
      </c>
      <c r="E14" s="16">
        <f>SUM(E4:E13)</f>
        <v>8125</v>
      </c>
      <c r="F14" s="17"/>
      <c r="G14" s="17"/>
      <c r="H14" s="16">
        <f>SUM(H4:H13)</f>
        <v>406250</v>
      </c>
      <c r="I14" s="17"/>
      <c r="J14" s="17"/>
      <c r="K14" s="16">
        <f t="shared" ref="K14:P14" si="10">SUM(K4:K13)</f>
        <v>101162.17128000002</v>
      </c>
      <c r="L14" s="16">
        <f t="shared" si="10"/>
        <v>507412.17127999995</v>
      </c>
      <c r="M14" s="16">
        <f t="shared" si="10"/>
        <v>0</v>
      </c>
      <c r="N14" s="16">
        <f>SUM(N4:N13)</f>
        <v>101162.17128000002</v>
      </c>
      <c r="O14" s="16">
        <f t="shared" si="10"/>
        <v>101162.17128000002</v>
      </c>
      <c r="P14" s="16">
        <f t="shared" si="10"/>
        <v>406250</v>
      </c>
    </row>
  </sheetData>
  <mergeCells count="3">
    <mergeCell ref="A1:Q1"/>
    <mergeCell ref="A2:Q2"/>
    <mergeCell ref="A14:C14"/>
  </mergeCells>
  <pageMargins left="0.7" right="0.7" top="0.75" bottom="0.75" header="0.3" footer="0.3"/>
  <pageSetup paperSize="14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B892F-C633-4ABA-86FE-04B37AEA6038}">
  <dimension ref="A1:W49"/>
  <sheetViews>
    <sheetView topLeftCell="H22" workbookViewId="0">
      <selection activeCell="W49" sqref="W49"/>
    </sheetView>
  </sheetViews>
  <sheetFormatPr baseColWidth="10" defaultRowHeight="15" x14ac:dyDescent="0.25"/>
  <cols>
    <col min="1" max="1" width="26.140625" customWidth="1"/>
    <col min="4" max="4" width="25" customWidth="1"/>
    <col min="7" max="7" width="25.5703125" customWidth="1"/>
    <col min="10" max="10" width="24.28515625" customWidth="1"/>
    <col min="13" max="13" width="25.140625" customWidth="1"/>
    <col min="16" max="16" width="24.5703125" customWidth="1"/>
    <col min="19" max="19" width="24.140625" customWidth="1"/>
    <col min="22" max="22" width="24.140625" customWidth="1"/>
  </cols>
  <sheetData>
    <row r="1" spans="1:23" ht="18.75" x14ac:dyDescent="0.3">
      <c r="A1" s="95" t="s">
        <v>407</v>
      </c>
      <c r="B1" s="96"/>
      <c r="C1" s="3"/>
      <c r="D1" s="96"/>
      <c r="E1" s="96"/>
      <c r="G1" s="95" t="s">
        <v>408</v>
      </c>
      <c r="H1" s="96"/>
      <c r="I1" s="3"/>
      <c r="J1" s="96"/>
      <c r="K1" s="96"/>
      <c r="M1" s="95" t="s">
        <v>409</v>
      </c>
      <c r="N1" s="96"/>
      <c r="O1" s="3"/>
      <c r="P1" s="96"/>
      <c r="Q1" s="96"/>
      <c r="S1" s="95" t="s">
        <v>410</v>
      </c>
      <c r="T1" s="96"/>
      <c r="U1" s="3"/>
      <c r="V1" s="96"/>
      <c r="W1" s="96"/>
    </row>
    <row r="2" spans="1:23" x14ac:dyDescent="0.25">
      <c r="A2" s="3"/>
      <c r="B2" s="3"/>
      <c r="C2" s="3"/>
      <c r="D2" s="3"/>
      <c r="E2" s="3"/>
      <c r="G2" s="3"/>
      <c r="H2" s="3"/>
      <c r="I2" s="3"/>
      <c r="J2" s="3"/>
      <c r="K2" s="3"/>
      <c r="M2" s="3"/>
      <c r="N2" s="3"/>
      <c r="O2" s="3"/>
      <c r="P2" s="3"/>
      <c r="Q2" s="3"/>
      <c r="S2" s="3"/>
      <c r="T2" s="3"/>
      <c r="U2" s="3"/>
      <c r="V2" s="3"/>
      <c r="W2" s="3"/>
    </row>
    <row r="3" spans="1:23" x14ac:dyDescent="0.25">
      <c r="A3" s="3"/>
      <c r="B3" s="3"/>
      <c r="C3" s="3"/>
      <c r="D3" s="3" t="s">
        <v>249</v>
      </c>
      <c r="E3" s="3">
        <f>B5</f>
        <v>7679.68</v>
      </c>
      <c r="G3" s="3"/>
      <c r="H3" s="3"/>
      <c r="I3" s="3"/>
      <c r="J3" s="3" t="s">
        <v>249</v>
      </c>
      <c r="K3" s="3">
        <f>H5</f>
        <v>5088.2</v>
      </c>
      <c r="M3" s="3"/>
      <c r="N3" s="3"/>
      <c r="O3" s="3"/>
      <c r="P3" s="3" t="s">
        <v>249</v>
      </c>
      <c r="Q3" s="3">
        <f>N5</f>
        <v>8334.76</v>
      </c>
      <c r="S3" s="3"/>
      <c r="T3" s="3"/>
      <c r="U3" s="3"/>
      <c r="V3" s="3" t="s">
        <v>249</v>
      </c>
      <c r="W3" s="3">
        <f>T5</f>
        <v>9949.7999999999993</v>
      </c>
    </row>
    <row r="4" spans="1:23" x14ac:dyDescent="0.25">
      <c r="A4" s="3"/>
      <c r="B4" s="3"/>
      <c r="C4" s="3"/>
      <c r="D4" s="3" t="s">
        <v>250</v>
      </c>
      <c r="E4" s="3">
        <v>9744.4526315789481</v>
      </c>
      <c r="G4" s="3"/>
      <c r="H4" s="3"/>
      <c r="I4" s="3"/>
      <c r="J4" s="3" t="s">
        <v>250</v>
      </c>
      <c r="K4" s="3">
        <v>5482.15</v>
      </c>
      <c r="M4" s="3"/>
      <c r="N4" s="3"/>
      <c r="O4" s="3"/>
      <c r="P4" s="3" t="s">
        <v>250</v>
      </c>
      <c r="Q4" s="3">
        <v>10821.886842105265</v>
      </c>
      <c r="S4" s="3"/>
      <c r="T4" s="3"/>
      <c r="U4" s="3"/>
      <c r="V4" s="3" t="s">
        <v>250</v>
      </c>
      <c r="W4" s="3">
        <v>13478.20263157895</v>
      </c>
    </row>
    <row r="5" spans="1:23" x14ac:dyDescent="0.25">
      <c r="A5" s="3" t="s">
        <v>249</v>
      </c>
      <c r="B5" s="3">
        <f>3839.84*2</f>
        <v>7679.68</v>
      </c>
      <c r="C5" s="3"/>
      <c r="D5" s="3" t="s">
        <v>251</v>
      </c>
      <c r="E5" s="3">
        <f>E3+E4</f>
        <v>17424.132631578948</v>
      </c>
      <c r="G5" s="3" t="s">
        <v>249</v>
      </c>
      <c r="H5" s="3">
        <f>2544.1*2</f>
        <v>5088.2</v>
      </c>
      <c r="I5" s="3"/>
      <c r="J5" s="3" t="s">
        <v>251</v>
      </c>
      <c r="K5" s="3">
        <f>K3+K4</f>
        <v>10570.349999999999</v>
      </c>
      <c r="M5" s="3" t="s">
        <v>249</v>
      </c>
      <c r="N5" s="3">
        <f>4167.38*2</f>
        <v>8334.76</v>
      </c>
      <c r="O5" s="3"/>
      <c r="P5" s="3" t="s">
        <v>251</v>
      </c>
      <c r="Q5" s="3">
        <f>Q3+Q4</f>
        <v>19156.646842105263</v>
      </c>
      <c r="S5" s="3" t="s">
        <v>249</v>
      </c>
      <c r="T5" s="3">
        <f>4974.9*2</f>
        <v>9949.7999999999993</v>
      </c>
      <c r="U5" s="3"/>
      <c r="V5" s="3" t="s">
        <v>251</v>
      </c>
      <c r="W5" s="3">
        <f>W3+W4</f>
        <v>23428.002631578951</v>
      </c>
    </row>
    <row r="6" spans="1:23" x14ac:dyDescent="0.25">
      <c r="A6" s="3" t="s">
        <v>252</v>
      </c>
      <c r="B6" s="3">
        <v>5470.93</v>
      </c>
      <c r="C6" s="3"/>
      <c r="D6" s="3" t="s">
        <v>252</v>
      </c>
      <c r="E6" s="3">
        <v>13381.48</v>
      </c>
      <c r="G6" s="3" t="s">
        <v>252</v>
      </c>
      <c r="H6" s="3">
        <v>644.59</v>
      </c>
      <c r="I6" s="3"/>
      <c r="J6" s="3" t="s">
        <v>252</v>
      </c>
      <c r="K6" s="3">
        <v>9614.67</v>
      </c>
      <c r="M6" s="3" t="s">
        <v>252</v>
      </c>
      <c r="N6" s="3">
        <v>5470.93</v>
      </c>
      <c r="O6" s="3"/>
      <c r="P6" s="3" t="s">
        <v>252</v>
      </c>
      <c r="Q6" s="3">
        <v>13381.48</v>
      </c>
      <c r="S6" s="3" t="s">
        <v>252</v>
      </c>
      <c r="T6" s="3">
        <v>9614.67</v>
      </c>
      <c r="U6" s="3"/>
      <c r="V6" s="3" t="s">
        <v>252</v>
      </c>
      <c r="W6" s="3">
        <v>13381.48</v>
      </c>
    </row>
    <row r="7" spans="1:23" x14ac:dyDescent="0.25">
      <c r="A7" s="3" t="s">
        <v>253</v>
      </c>
      <c r="B7" s="3">
        <v>11716.63</v>
      </c>
      <c r="C7" s="3"/>
      <c r="D7" s="3" t="s">
        <v>253</v>
      </c>
      <c r="E7" s="3">
        <f>(E5-E6)</f>
        <v>4042.6526315789488</v>
      </c>
      <c r="G7" s="3" t="s">
        <v>253</v>
      </c>
      <c r="H7" s="3">
        <v>11716.63</v>
      </c>
      <c r="I7" s="3"/>
      <c r="J7" s="3" t="s">
        <v>253</v>
      </c>
      <c r="K7" s="3">
        <f>(K5-K6)</f>
        <v>955.67999999999847</v>
      </c>
      <c r="M7" s="3" t="s">
        <v>253</v>
      </c>
      <c r="N7" s="3">
        <v>11716.63</v>
      </c>
      <c r="O7" s="3"/>
      <c r="P7" s="3" t="s">
        <v>253</v>
      </c>
      <c r="Q7" s="3">
        <f>(Q5-Q6)</f>
        <v>5775.1668421052636</v>
      </c>
      <c r="S7" s="3" t="s">
        <v>253</v>
      </c>
      <c r="T7" s="3">
        <v>11716.63</v>
      </c>
      <c r="U7" s="3"/>
      <c r="V7" s="3" t="s">
        <v>253</v>
      </c>
      <c r="W7" s="3">
        <f>(W5-W6)</f>
        <v>10046.522631578951</v>
      </c>
    </row>
    <row r="8" spans="1:23" x14ac:dyDescent="0.25">
      <c r="A8" s="3" t="s">
        <v>254</v>
      </c>
      <c r="B8" s="5">
        <v>0.10879999999999999</v>
      </c>
      <c r="C8" s="3"/>
      <c r="D8" s="3" t="s">
        <v>254</v>
      </c>
      <c r="E8" s="5">
        <v>0.21360000000000001</v>
      </c>
      <c r="G8" s="3" t="s">
        <v>254</v>
      </c>
      <c r="H8" s="5">
        <v>6.4000000000000001E-2</v>
      </c>
      <c r="I8" s="3"/>
      <c r="J8" s="3" t="s">
        <v>254</v>
      </c>
      <c r="K8" s="5">
        <v>0.16</v>
      </c>
      <c r="M8" s="3" t="s">
        <v>254</v>
      </c>
      <c r="N8" s="5">
        <v>0.10879999999999999</v>
      </c>
      <c r="O8" s="3"/>
      <c r="P8" s="3" t="s">
        <v>254</v>
      </c>
      <c r="Q8" s="5">
        <v>0.21360000000000001</v>
      </c>
      <c r="S8" s="3" t="s">
        <v>254</v>
      </c>
      <c r="T8" s="5">
        <v>0.16</v>
      </c>
      <c r="U8" s="3"/>
      <c r="V8" s="3" t="s">
        <v>254</v>
      </c>
      <c r="W8" s="5">
        <v>0.21360000000000001</v>
      </c>
    </row>
    <row r="9" spans="1:23" x14ac:dyDescent="0.25">
      <c r="A9" s="3" t="s">
        <v>255</v>
      </c>
      <c r="B9" s="3">
        <f>B7*B8</f>
        <v>1274.7693439999998</v>
      </c>
      <c r="C9" s="3"/>
      <c r="D9" s="3" t="s">
        <v>255</v>
      </c>
      <c r="E9" s="3">
        <f>(E7*E8)</f>
        <v>863.5106021052635</v>
      </c>
      <c r="G9" s="3" t="s">
        <v>255</v>
      </c>
      <c r="H9" s="3">
        <f>H7*H8</f>
        <v>749.86432000000002</v>
      </c>
      <c r="I9" s="3"/>
      <c r="J9" s="3" t="s">
        <v>255</v>
      </c>
      <c r="K9" s="3">
        <f>(K7*K8)</f>
        <v>152.90879999999976</v>
      </c>
      <c r="M9" s="3" t="s">
        <v>255</v>
      </c>
      <c r="N9" s="3">
        <f>N7*N8</f>
        <v>1274.7693439999998</v>
      </c>
      <c r="O9" s="3"/>
      <c r="P9" s="3" t="s">
        <v>255</v>
      </c>
      <c r="Q9" s="3">
        <f>(Q7*Q8)</f>
        <v>1233.5756374736843</v>
      </c>
      <c r="S9" s="3" t="s">
        <v>255</v>
      </c>
      <c r="T9" s="3">
        <f>T7*T8</f>
        <v>1874.6607999999999</v>
      </c>
      <c r="U9" s="3"/>
      <c r="V9" s="3" t="s">
        <v>255</v>
      </c>
      <c r="W9" s="3">
        <f>(W7*W8)</f>
        <v>2145.937234105264</v>
      </c>
    </row>
    <row r="10" spans="1:23" x14ac:dyDescent="0.25">
      <c r="A10" s="3" t="s">
        <v>256</v>
      </c>
      <c r="B10" s="3">
        <v>321.26</v>
      </c>
      <c r="C10" s="3"/>
      <c r="D10" s="3" t="s">
        <v>256</v>
      </c>
      <c r="E10" s="3">
        <v>1417.12</v>
      </c>
      <c r="G10" s="3" t="s">
        <v>256</v>
      </c>
      <c r="H10" s="3">
        <v>12.38</v>
      </c>
      <c r="I10" s="3"/>
      <c r="J10" s="3" t="s">
        <v>256</v>
      </c>
      <c r="K10" s="3">
        <v>772.1</v>
      </c>
      <c r="M10" s="3" t="s">
        <v>256</v>
      </c>
      <c r="N10" s="3">
        <v>321.26</v>
      </c>
      <c r="O10" s="3"/>
      <c r="P10" s="3" t="s">
        <v>256</v>
      </c>
      <c r="Q10" s="3">
        <v>1417.12</v>
      </c>
      <c r="S10" s="3" t="s">
        <v>256</v>
      </c>
      <c r="T10" s="3">
        <v>772.1</v>
      </c>
      <c r="U10" s="3"/>
      <c r="V10" s="3" t="s">
        <v>256</v>
      </c>
      <c r="W10" s="3">
        <v>1417.12</v>
      </c>
    </row>
    <row r="11" spans="1:23" x14ac:dyDescent="0.25">
      <c r="A11" s="3" t="s">
        <v>257</v>
      </c>
      <c r="B11" s="3">
        <f>B9+B10</f>
        <v>1596.0293439999998</v>
      </c>
      <c r="C11" s="3"/>
      <c r="D11" s="3" t="s">
        <v>257</v>
      </c>
      <c r="E11" s="3">
        <f>(E9+E10)</f>
        <v>2280.6306021052633</v>
      </c>
      <c r="G11" s="3" t="s">
        <v>257</v>
      </c>
      <c r="H11" s="3">
        <f>H9+H10</f>
        <v>762.24432000000002</v>
      </c>
      <c r="I11" s="3"/>
      <c r="J11" s="3" t="s">
        <v>257</v>
      </c>
      <c r="K11" s="3">
        <f>(K9+K10)</f>
        <v>925.00879999999984</v>
      </c>
      <c r="M11" s="3" t="s">
        <v>257</v>
      </c>
      <c r="N11" s="3">
        <f>N9+N10</f>
        <v>1596.0293439999998</v>
      </c>
      <c r="O11" s="3"/>
      <c r="P11" s="3" t="s">
        <v>257</v>
      </c>
      <c r="Q11" s="3">
        <f>(Q9+Q10)</f>
        <v>2650.6956374736842</v>
      </c>
      <c r="S11" s="3" t="s">
        <v>257</v>
      </c>
      <c r="T11" s="3">
        <f>T9+T10</f>
        <v>2646.7608</v>
      </c>
      <c r="U11" s="3"/>
      <c r="V11" s="3" t="s">
        <v>257</v>
      </c>
      <c r="W11" s="3">
        <f>(W9+W10)</f>
        <v>3563.0572341052639</v>
      </c>
    </row>
    <row r="12" spans="1:23" x14ac:dyDescent="0.25">
      <c r="A12" s="3" t="s">
        <v>258</v>
      </c>
      <c r="B12" s="3"/>
      <c r="C12" s="3"/>
      <c r="D12" s="3" t="s">
        <v>258</v>
      </c>
      <c r="E12" s="3"/>
      <c r="G12" s="3" t="s">
        <v>258</v>
      </c>
      <c r="H12" s="3"/>
      <c r="I12" s="3"/>
      <c r="J12" s="3" t="s">
        <v>258</v>
      </c>
      <c r="K12" s="3"/>
      <c r="M12" s="3" t="s">
        <v>258</v>
      </c>
      <c r="N12" s="3"/>
      <c r="O12" s="3"/>
      <c r="P12" s="3" t="s">
        <v>258</v>
      </c>
      <c r="Q12" s="3"/>
      <c r="S12" s="3" t="s">
        <v>258</v>
      </c>
      <c r="T12" s="3"/>
      <c r="U12" s="3"/>
      <c r="V12" s="3" t="s">
        <v>258</v>
      </c>
      <c r="W12" s="3"/>
    </row>
    <row r="13" spans="1:23" x14ac:dyDescent="0.25">
      <c r="A13" s="3" t="s">
        <v>259</v>
      </c>
      <c r="B13" s="3">
        <f>(B11-B12)</f>
        <v>1596.0293439999998</v>
      </c>
      <c r="C13" s="3"/>
      <c r="D13" s="3" t="s">
        <v>259</v>
      </c>
      <c r="E13" s="3">
        <f>(E11-E12)</f>
        <v>2280.6306021052633</v>
      </c>
      <c r="G13" s="3" t="s">
        <v>259</v>
      </c>
      <c r="H13" s="3">
        <f>(H11-H12)</f>
        <v>762.24432000000002</v>
      </c>
      <c r="I13" s="3"/>
      <c r="J13" s="3" t="s">
        <v>259</v>
      </c>
      <c r="K13" s="3">
        <f>(K11-K12)</f>
        <v>925.00879999999984</v>
      </c>
      <c r="M13" s="3" t="s">
        <v>259</v>
      </c>
      <c r="N13" s="3">
        <f>(N11-N12)</f>
        <v>1596.0293439999998</v>
      </c>
      <c r="O13" s="3"/>
      <c r="P13" s="3" t="s">
        <v>259</v>
      </c>
      <c r="Q13" s="3">
        <f>(Q11-Q12)</f>
        <v>2650.6956374736842</v>
      </c>
      <c r="S13" s="3" t="s">
        <v>259</v>
      </c>
      <c r="T13" s="3">
        <f>(T11-T12)</f>
        <v>2646.7608</v>
      </c>
      <c r="U13" s="3"/>
      <c r="V13" s="3" t="s">
        <v>259</v>
      </c>
      <c r="W13" s="3">
        <f>(W11-W12)</f>
        <v>3563.0572341052639</v>
      </c>
    </row>
    <row r="14" spans="1:23" x14ac:dyDescent="0.25">
      <c r="A14" s="3"/>
      <c r="B14" s="3"/>
      <c r="C14" s="3"/>
      <c r="D14" s="3"/>
      <c r="E14" s="3"/>
      <c r="G14" s="3"/>
      <c r="H14" s="3"/>
      <c r="I14" s="3"/>
      <c r="J14" s="3"/>
      <c r="K14" s="3"/>
      <c r="M14" s="3"/>
      <c r="N14" s="3"/>
      <c r="O14" s="3"/>
      <c r="P14" s="3"/>
      <c r="Q14" s="3"/>
      <c r="S14" s="3"/>
      <c r="T14" s="3"/>
      <c r="U14" s="3"/>
      <c r="V14" s="3"/>
      <c r="W14" s="3"/>
    </row>
    <row r="15" spans="1:23" x14ac:dyDescent="0.25">
      <c r="A15" s="3"/>
      <c r="B15" s="3"/>
      <c r="C15" s="3"/>
      <c r="D15" s="3" t="s">
        <v>260</v>
      </c>
      <c r="E15" s="3">
        <f>E13-B13</f>
        <v>684.60125810526347</v>
      </c>
      <c r="G15" s="3"/>
      <c r="H15" s="3"/>
      <c r="I15" s="3"/>
      <c r="J15" s="3" t="s">
        <v>260</v>
      </c>
      <c r="K15" s="3">
        <f>K13-H13</f>
        <v>162.76447999999982</v>
      </c>
      <c r="M15" s="3"/>
      <c r="N15" s="3"/>
      <c r="O15" s="3"/>
      <c r="P15" s="3" t="s">
        <v>260</v>
      </c>
      <c r="Q15" s="3">
        <f>Q13-N13</f>
        <v>1054.6662934736844</v>
      </c>
      <c r="S15" s="3"/>
      <c r="T15" s="3"/>
      <c r="U15" s="3"/>
      <c r="V15" s="3" t="s">
        <v>260</v>
      </c>
      <c r="W15" s="3">
        <f>W13-T13</f>
        <v>916.29643410526387</v>
      </c>
    </row>
    <row r="18" spans="1:23" ht="18.75" x14ac:dyDescent="0.3">
      <c r="A18" s="95" t="s">
        <v>411</v>
      </c>
      <c r="B18" s="96"/>
      <c r="C18" s="3"/>
      <c r="D18" s="96"/>
      <c r="E18" s="96"/>
      <c r="G18" s="95" t="s">
        <v>412</v>
      </c>
      <c r="H18" s="96"/>
      <c r="I18" s="3"/>
      <c r="J18" s="96"/>
      <c r="K18" s="96"/>
      <c r="M18" s="95" t="s">
        <v>413</v>
      </c>
      <c r="N18" s="96"/>
      <c r="O18" s="3"/>
      <c r="P18" s="96"/>
      <c r="Q18" s="96"/>
      <c r="S18" s="95" t="s">
        <v>414</v>
      </c>
      <c r="T18" s="96"/>
      <c r="U18" s="3"/>
      <c r="V18" s="96"/>
      <c r="W18" s="96"/>
    </row>
    <row r="19" spans="1:23" x14ac:dyDescent="0.25">
      <c r="A19" s="3"/>
      <c r="B19" s="3"/>
      <c r="C19" s="3"/>
      <c r="D19" s="3"/>
      <c r="E19" s="3"/>
      <c r="G19" s="3"/>
      <c r="H19" s="3"/>
      <c r="I19" s="3"/>
      <c r="J19" s="3"/>
      <c r="K19" s="3"/>
      <c r="M19" s="3"/>
      <c r="N19" s="3"/>
      <c r="O19" s="3"/>
      <c r="P19" s="3"/>
      <c r="Q19" s="3"/>
      <c r="S19" s="3"/>
      <c r="T19" s="3"/>
      <c r="U19" s="3"/>
      <c r="V19" s="3"/>
      <c r="W19" s="3"/>
    </row>
    <row r="20" spans="1:23" x14ac:dyDescent="0.25">
      <c r="A20" s="3"/>
      <c r="B20" s="3"/>
      <c r="C20" s="3"/>
      <c r="D20" s="3" t="s">
        <v>249</v>
      </c>
      <c r="E20" s="3">
        <f>B22</f>
        <v>5584.66</v>
      </c>
      <c r="G20" s="3"/>
      <c r="H20" s="3"/>
      <c r="I20" s="3"/>
      <c r="J20" s="3" t="s">
        <v>249</v>
      </c>
      <c r="K20" s="3">
        <f>H22</f>
        <v>7609.64</v>
      </c>
      <c r="M20" s="3"/>
      <c r="N20" s="3"/>
      <c r="O20" s="3"/>
      <c r="P20" s="3" t="s">
        <v>249</v>
      </c>
      <c r="Q20" s="3">
        <f>N22</f>
        <v>11713.16</v>
      </c>
      <c r="S20" s="3"/>
      <c r="T20" s="3"/>
      <c r="U20" s="3"/>
      <c r="V20" s="3" t="s">
        <v>249</v>
      </c>
      <c r="W20" s="3">
        <f>T22</f>
        <v>5438.4</v>
      </c>
    </row>
    <row r="21" spans="1:23" x14ac:dyDescent="0.25">
      <c r="A21" s="3"/>
      <c r="B21" s="3"/>
      <c r="C21" s="3"/>
      <c r="D21" s="3" t="s">
        <v>250</v>
      </c>
      <c r="E21" s="3">
        <v>6298.6960526315797</v>
      </c>
      <c r="G21" s="3"/>
      <c r="H21" s="3"/>
      <c r="I21" s="3"/>
      <c r="J21" s="3" t="s">
        <v>250</v>
      </c>
      <c r="K21" s="3">
        <v>9629.2552631578947</v>
      </c>
      <c r="M21" s="3"/>
      <c r="N21" s="3"/>
      <c r="O21" s="3"/>
      <c r="P21" s="3" t="s">
        <v>250</v>
      </c>
      <c r="Q21" s="3">
        <v>16378.465789473683</v>
      </c>
      <c r="S21" s="3"/>
      <c r="T21" s="3"/>
      <c r="U21" s="3"/>
      <c r="V21" s="3" t="s">
        <v>250</v>
      </c>
      <c r="W21" s="3">
        <v>6058.1368421052648</v>
      </c>
    </row>
    <row r="22" spans="1:23" x14ac:dyDescent="0.25">
      <c r="A22" s="3" t="s">
        <v>249</v>
      </c>
      <c r="B22" s="3">
        <f>2792.33*2</f>
        <v>5584.66</v>
      </c>
      <c r="C22" s="3"/>
      <c r="D22" s="3" t="s">
        <v>251</v>
      </c>
      <c r="E22" s="3">
        <f>E20+E21</f>
        <v>11883.35605263158</v>
      </c>
      <c r="G22" s="3" t="s">
        <v>249</v>
      </c>
      <c r="H22" s="3">
        <f>3804.82*2</f>
        <v>7609.64</v>
      </c>
      <c r="I22" s="3"/>
      <c r="J22" s="3" t="s">
        <v>251</v>
      </c>
      <c r="K22" s="3">
        <f>K20+K21</f>
        <v>17238.895263157894</v>
      </c>
      <c r="M22" s="3" t="s">
        <v>249</v>
      </c>
      <c r="N22" s="3">
        <f>5856.58*2</f>
        <v>11713.16</v>
      </c>
      <c r="O22" s="3"/>
      <c r="P22" s="3" t="s">
        <v>251</v>
      </c>
      <c r="Q22" s="3">
        <f>Q20+Q21</f>
        <v>28091.625789473685</v>
      </c>
      <c r="S22" s="3" t="s">
        <v>249</v>
      </c>
      <c r="T22" s="3">
        <f>2719.2*2</f>
        <v>5438.4</v>
      </c>
      <c r="U22" s="3"/>
      <c r="V22" s="3" t="s">
        <v>251</v>
      </c>
      <c r="W22" s="3">
        <f>W20+W21</f>
        <v>11496.536842105264</v>
      </c>
    </row>
    <row r="23" spans="1:23" x14ac:dyDescent="0.25">
      <c r="A23" s="3" t="s">
        <v>252</v>
      </c>
      <c r="B23" s="3">
        <v>5470.93</v>
      </c>
      <c r="C23" s="3"/>
      <c r="D23" s="3" t="s">
        <v>252</v>
      </c>
      <c r="E23" s="3">
        <v>11176.63</v>
      </c>
      <c r="G23" s="3" t="s">
        <v>252</v>
      </c>
      <c r="H23" s="3">
        <v>5470.93</v>
      </c>
      <c r="I23" s="3"/>
      <c r="J23" s="3" t="s">
        <v>252</v>
      </c>
      <c r="K23" s="3">
        <v>13381.48</v>
      </c>
      <c r="M23" s="3" t="s">
        <v>252</v>
      </c>
      <c r="N23" s="3">
        <v>9614.67</v>
      </c>
      <c r="O23" s="3"/>
      <c r="P23" s="3" t="s">
        <v>252</v>
      </c>
      <c r="Q23" s="3">
        <v>26988.51</v>
      </c>
      <c r="S23" s="3" t="s">
        <v>252</v>
      </c>
      <c r="T23" s="3">
        <v>644.59</v>
      </c>
      <c r="U23" s="3"/>
      <c r="V23" s="3" t="s">
        <v>252</v>
      </c>
      <c r="W23" s="3">
        <v>11176.63</v>
      </c>
    </row>
    <row r="24" spans="1:23" x14ac:dyDescent="0.25">
      <c r="A24" s="3" t="s">
        <v>253</v>
      </c>
      <c r="B24" s="3">
        <v>11716.63</v>
      </c>
      <c r="C24" s="3"/>
      <c r="D24" s="3" t="s">
        <v>253</v>
      </c>
      <c r="E24" s="3">
        <f>(E22-E23)</f>
        <v>706.72605263158039</v>
      </c>
      <c r="G24" s="3" t="s">
        <v>253</v>
      </c>
      <c r="H24" s="3">
        <v>11716.63</v>
      </c>
      <c r="I24" s="3"/>
      <c r="J24" s="3" t="s">
        <v>253</v>
      </c>
      <c r="K24" s="3">
        <f>(K22-K23)</f>
        <v>3857.4152631578945</v>
      </c>
      <c r="M24" s="3" t="s">
        <v>253</v>
      </c>
      <c r="N24" s="3">
        <v>11716.63</v>
      </c>
      <c r="O24" s="3"/>
      <c r="P24" s="3" t="s">
        <v>253</v>
      </c>
      <c r="Q24" s="3">
        <f>(Q22-Q23)</f>
        <v>1103.1157894736862</v>
      </c>
      <c r="S24" s="3" t="s">
        <v>253</v>
      </c>
      <c r="T24" s="3">
        <v>11716.63</v>
      </c>
      <c r="U24" s="3"/>
      <c r="V24" s="3" t="s">
        <v>253</v>
      </c>
      <c r="W24" s="3">
        <f>(W22-W23)</f>
        <v>319.90684210526524</v>
      </c>
    </row>
    <row r="25" spans="1:23" x14ac:dyDescent="0.25">
      <c r="A25" s="3" t="s">
        <v>254</v>
      </c>
      <c r="B25" s="5">
        <v>0.10879999999999999</v>
      </c>
      <c r="C25" s="3"/>
      <c r="D25" s="3" t="s">
        <v>254</v>
      </c>
      <c r="E25" s="5">
        <v>0.1792</v>
      </c>
      <c r="G25" s="3" t="s">
        <v>254</v>
      </c>
      <c r="H25" s="5">
        <v>0.10879999999999999</v>
      </c>
      <c r="I25" s="3"/>
      <c r="J25" s="3" t="s">
        <v>254</v>
      </c>
      <c r="K25" s="5">
        <v>0.21360000000000001</v>
      </c>
      <c r="M25" s="3" t="s">
        <v>254</v>
      </c>
      <c r="N25" s="5">
        <v>0.16</v>
      </c>
      <c r="O25" s="3"/>
      <c r="P25" s="3" t="s">
        <v>254</v>
      </c>
      <c r="Q25" s="5">
        <v>0.23519999999999999</v>
      </c>
      <c r="S25" s="3" t="s">
        <v>254</v>
      </c>
      <c r="T25" s="5">
        <v>6.4000000000000001E-2</v>
      </c>
      <c r="U25" s="3"/>
      <c r="V25" s="3" t="s">
        <v>254</v>
      </c>
      <c r="W25" s="5">
        <v>0.1792</v>
      </c>
    </row>
    <row r="26" spans="1:23" x14ac:dyDescent="0.25">
      <c r="A26" s="3" t="s">
        <v>255</v>
      </c>
      <c r="B26" s="3">
        <f>B24*B25</f>
        <v>1274.7693439999998</v>
      </c>
      <c r="C26" s="3"/>
      <c r="D26" s="3" t="s">
        <v>255</v>
      </c>
      <c r="E26" s="3">
        <f>(E24*E25)</f>
        <v>126.6453086315792</v>
      </c>
      <c r="G26" s="3" t="s">
        <v>255</v>
      </c>
      <c r="H26" s="3">
        <f>H24*H25</f>
        <v>1274.7693439999998</v>
      </c>
      <c r="I26" s="3"/>
      <c r="J26" s="3" t="s">
        <v>255</v>
      </c>
      <c r="K26" s="3">
        <f>(K24*K25)</f>
        <v>823.94390021052629</v>
      </c>
      <c r="M26" s="3" t="s">
        <v>255</v>
      </c>
      <c r="N26" s="3">
        <f>N24*N25</f>
        <v>1874.6607999999999</v>
      </c>
      <c r="O26" s="3"/>
      <c r="P26" s="3" t="s">
        <v>255</v>
      </c>
      <c r="Q26" s="3">
        <f>(Q24*Q25)</f>
        <v>259.45283368421099</v>
      </c>
      <c r="S26" s="3" t="s">
        <v>255</v>
      </c>
      <c r="T26" s="3">
        <f>T24*T25</f>
        <v>749.86432000000002</v>
      </c>
      <c r="U26" s="3"/>
      <c r="V26" s="3" t="s">
        <v>255</v>
      </c>
      <c r="W26" s="3">
        <f>(W24*W25)</f>
        <v>57.327306105263531</v>
      </c>
    </row>
    <row r="27" spans="1:23" x14ac:dyDescent="0.25">
      <c r="A27" s="3" t="s">
        <v>256</v>
      </c>
      <c r="B27" s="3">
        <v>321.26</v>
      </c>
      <c r="C27" s="3"/>
      <c r="D27" s="3" t="s">
        <v>256</v>
      </c>
      <c r="E27" s="3">
        <v>1022.01</v>
      </c>
      <c r="G27" s="3" t="s">
        <v>256</v>
      </c>
      <c r="H27" s="3">
        <v>321.26</v>
      </c>
      <c r="I27" s="3"/>
      <c r="J27" s="3" t="s">
        <v>256</v>
      </c>
      <c r="K27" s="3">
        <v>1417.12</v>
      </c>
      <c r="M27" s="3" t="s">
        <v>256</v>
      </c>
      <c r="N27" s="3">
        <v>772.1</v>
      </c>
      <c r="O27" s="3"/>
      <c r="P27" s="3" t="s">
        <v>256</v>
      </c>
      <c r="Q27" s="3">
        <v>4323.58</v>
      </c>
      <c r="S27" s="3" t="s">
        <v>256</v>
      </c>
      <c r="T27" s="3">
        <v>12.38</v>
      </c>
      <c r="U27" s="3"/>
      <c r="V27" s="3" t="s">
        <v>256</v>
      </c>
      <c r="W27" s="3">
        <v>1022.01</v>
      </c>
    </row>
    <row r="28" spans="1:23" x14ac:dyDescent="0.25">
      <c r="A28" s="3" t="s">
        <v>257</v>
      </c>
      <c r="B28" s="3">
        <f>B26+B27</f>
        <v>1596.0293439999998</v>
      </c>
      <c r="C28" s="3"/>
      <c r="D28" s="3" t="s">
        <v>257</v>
      </c>
      <c r="E28" s="3">
        <f>(E26+E27)</f>
        <v>1148.6553086315791</v>
      </c>
      <c r="G28" s="3" t="s">
        <v>257</v>
      </c>
      <c r="H28" s="3">
        <f>H26+H27</f>
        <v>1596.0293439999998</v>
      </c>
      <c r="I28" s="3"/>
      <c r="J28" s="3" t="s">
        <v>257</v>
      </c>
      <c r="K28" s="3">
        <f>(K26+K27)</f>
        <v>2241.0639002105263</v>
      </c>
      <c r="M28" s="3" t="s">
        <v>257</v>
      </c>
      <c r="N28" s="3">
        <f>N26+N27</f>
        <v>2646.7608</v>
      </c>
      <c r="O28" s="3"/>
      <c r="P28" s="3" t="s">
        <v>257</v>
      </c>
      <c r="Q28" s="3">
        <f>(Q26+Q27)</f>
        <v>4583.0328336842113</v>
      </c>
      <c r="S28" s="3" t="s">
        <v>257</v>
      </c>
      <c r="T28" s="3">
        <f>T26+T27</f>
        <v>762.24432000000002</v>
      </c>
      <c r="U28" s="3"/>
      <c r="V28" s="3" t="s">
        <v>257</v>
      </c>
      <c r="W28" s="3">
        <f>(W26+W27)</f>
        <v>1079.3373061052635</v>
      </c>
    </row>
    <row r="29" spans="1:23" x14ac:dyDescent="0.25">
      <c r="A29" s="3" t="s">
        <v>258</v>
      </c>
      <c r="B29" s="3"/>
      <c r="C29" s="3"/>
      <c r="D29" s="3" t="s">
        <v>258</v>
      </c>
      <c r="E29" s="3"/>
      <c r="G29" s="3" t="s">
        <v>258</v>
      </c>
      <c r="H29" s="3"/>
      <c r="I29" s="3"/>
      <c r="J29" s="3" t="s">
        <v>258</v>
      </c>
      <c r="K29" s="3"/>
      <c r="M29" s="3" t="s">
        <v>258</v>
      </c>
      <c r="N29" s="3"/>
      <c r="O29" s="3"/>
      <c r="P29" s="3" t="s">
        <v>258</v>
      </c>
      <c r="Q29" s="3"/>
      <c r="S29" s="3" t="s">
        <v>258</v>
      </c>
      <c r="T29" s="3"/>
      <c r="U29" s="3"/>
      <c r="V29" s="3" t="s">
        <v>258</v>
      </c>
      <c r="W29" s="3"/>
    </row>
    <row r="30" spans="1:23" x14ac:dyDescent="0.25">
      <c r="A30" s="3" t="s">
        <v>259</v>
      </c>
      <c r="B30" s="3">
        <f>(B28-B29)</f>
        <v>1596.0293439999998</v>
      </c>
      <c r="C30" s="3"/>
      <c r="D30" s="3" t="s">
        <v>259</v>
      </c>
      <c r="E30" s="3">
        <f>(E28-E29)</f>
        <v>1148.6553086315791</v>
      </c>
      <c r="G30" s="3" t="s">
        <v>259</v>
      </c>
      <c r="H30" s="3">
        <f>(H28-H29)</f>
        <v>1596.0293439999998</v>
      </c>
      <c r="I30" s="3"/>
      <c r="J30" s="3" t="s">
        <v>259</v>
      </c>
      <c r="K30" s="3">
        <f>(K28-K29)</f>
        <v>2241.0639002105263</v>
      </c>
      <c r="M30" s="3" t="s">
        <v>259</v>
      </c>
      <c r="N30" s="3">
        <f>(N28-N29)</f>
        <v>2646.7608</v>
      </c>
      <c r="O30" s="3"/>
      <c r="P30" s="3" t="s">
        <v>259</v>
      </c>
      <c r="Q30" s="3">
        <f>(Q28-Q29)</f>
        <v>4583.0328336842113</v>
      </c>
      <c r="S30" s="3" t="s">
        <v>259</v>
      </c>
      <c r="T30" s="3">
        <f>(T28-T29)</f>
        <v>762.24432000000002</v>
      </c>
      <c r="U30" s="3"/>
      <c r="V30" s="3" t="s">
        <v>259</v>
      </c>
      <c r="W30" s="3">
        <f>(W28-W29)</f>
        <v>1079.3373061052635</v>
      </c>
    </row>
    <row r="31" spans="1:23" x14ac:dyDescent="0.25">
      <c r="A31" s="3"/>
      <c r="B31" s="3"/>
      <c r="C31" s="3"/>
      <c r="D31" s="3"/>
      <c r="E31" s="3"/>
      <c r="G31" s="3"/>
      <c r="H31" s="3"/>
      <c r="I31" s="3"/>
      <c r="J31" s="3"/>
      <c r="K31" s="3"/>
      <c r="M31" s="3"/>
      <c r="N31" s="3"/>
      <c r="O31" s="3"/>
      <c r="P31" s="3"/>
      <c r="Q31" s="3"/>
      <c r="S31" s="3"/>
      <c r="T31" s="3"/>
      <c r="U31" s="3"/>
      <c r="V31" s="3"/>
      <c r="W31" s="3"/>
    </row>
    <row r="32" spans="1:23" x14ac:dyDescent="0.25">
      <c r="A32" s="3"/>
      <c r="B32" s="3"/>
      <c r="C32" s="3"/>
      <c r="D32" s="3" t="s">
        <v>260</v>
      </c>
      <c r="E32" s="3">
        <f>E30-B30</f>
        <v>-447.37403536842066</v>
      </c>
      <c r="G32" s="3"/>
      <c r="H32" s="3"/>
      <c r="I32" s="3"/>
      <c r="J32" s="3" t="s">
        <v>260</v>
      </c>
      <c r="K32" s="3">
        <f>K30-H30</f>
        <v>645.03455621052649</v>
      </c>
      <c r="M32" s="3"/>
      <c r="N32" s="3"/>
      <c r="O32" s="3"/>
      <c r="P32" s="3" t="s">
        <v>260</v>
      </c>
      <c r="Q32" s="3">
        <f>Q30-N30</f>
        <v>1936.2720336842112</v>
      </c>
      <c r="S32" s="3"/>
      <c r="T32" s="3"/>
      <c r="U32" s="3"/>
      <c r="V32" s="3" t="s">
        <v>260</v>
      </c>
      <c r="W32" s="3">
        <f>W30-T30</f>
        <v>317.09298610526344</v>
      </c>
    </row>
    <row r="35" spans="1:23" ht="18.75" x14ac:dyDescent="0.3">
      <c r="A35" s="95" t="s">
        <v>415</v>
      </c>
      <c r="B35" s="96"/>
      <c r="C35" s="3"/>
      <c r="D35" s="96"/>
      <c r="E35" s="96"/>
      <c r="G35" s="95" t="s">
        <v>416</v>
      </c>
      <c r="H35" s="96"/>
      <c r="I35" s="3"/>
      <c r="J35" s="96"/>
      <c r="K35" s="96"/>
      <c r="M35" s="95" t="s">
        <v>417</v>
      </c>
      <c r="N35" s="96"/>
      <c r="O35" s="3"/>
      <c r="P35" s="96"/>
      <c r="Q35" s="96"/>
      <c r="S35" s="95" t="s">
        <v>418</v>
      </c>
      <c r="T35" s="96"/>
      <c r="U35" s="3"/>
      <c r="V35" s="96"/>
      <c r="W35" s="96"/>
    </row>
    <row r="36" spans="1:23" x14ac:dyDescent="0.25">
      <c r="A36" s="3"/>
      <c r="B36" s="3"/>
      <c r="C36" s="3"/>
      <c r="D36" s="3"/>
      <c r="E36" s="3"/>
      <c r="G36" s="3"/>
      <c r="H36" s="3"/>
      <c r="I36" s="3"/>
      <c r="J36" s="3"/>
      <c r="K36" s="3"/>
      <c r="M36" s="3"/>
      <c r="N36" s="3"/>
      <c r="O36" s="3"/>
      <c r="P36" s="3"/>
      <c r="Q36" s="3"/>
      <c r="S36" s="3"/>
      <c r="T36" s="3"/>
      <c r="U36" s="3"/>
      <c r="V36" s="3"/>
      <c r="W36" s="3"/>
    </row>
    <row r="37" spans="1:23" x14ac:dyDescent="0.25">
      <c r="A37" s="3"/>
      <c r="B37" s="3"/>
      <c r="C37" s="3"/>
      <c r="D37" s="3" t="s">
        <v>249</v>
      </c>
      <c r="E37" s="3">
        <f>B39</f>
        <v>8686.84</v>
      </c>
      <c r="G37" s="3"/>
      <c r="H37" s="3"/>
      <c r="I37" s="3"/>
      <c r="J37" s="3" t="s">
        <v>249</v>
      </c>
      <c r="K37" s="3">
        <f>H39</f>
        <v>4321.88</v>
      </c>
      <c r="M37" s="3"/>
      <c r="N37" s="3"/>
      <c r="O37" s="3"/>
      <c r="P37" s="3" t="s">
        <v>249</v>
      </c>
      <c r="Q37" s="3">
        <f>N39</f>
        <v>5934.86</v>
      </c>
      <c r="S37" s="3"/>
      <c r="T37" s="3"/>
      <c r="U37" s="3"/>
      <c r="V37" s="3" t="s">
        <v>249</v>
      </c>
      <c r="W37" s="3">
        <f>T39</f>
        <v>9900.36</v>
      </c>
    </row>
    <row r="38" spans="1:23" x14ac:dyDescent="0.25">
      <c r="A38" s="3"/>
      <c r="B38" s="3"/>
      <c r="C38" s="3"/>
      <c r="D38" s="3" t="s">
        <v>250</v>
      </c>
      <c r="E38" s="3">
        <v>11400.965789473687</v>
      </c>
      <c r="G38" s="3"/>
      <c r="H38" s="3"/>
      <c r="I38" s="3"/>
      <c r="J38" s="3" t="s">
        <v>250</v>
      </c>
      <c r="K38" s="3">
        <v>4221.7552631578947</v>
      </c>
      <c r="M38" s="3"/>
      <c r="N38" s="3"/>
      <c r="O38" s="3"/>
      <c r="P38" s="3" t="s">
        <v>250</v>
      </c>
      <c r="Q38" s="3">
        <v>6874.6828947368431</v>
      </c>
      <c r="S38" s="3"/>
      <c r="T38" s="3"/>
      <c r="U38" s="3"/>
      <c r="V38" s="3" t="s">
        <v>250</v>
      </c>
      <c r="W38" s="3">
        <v>13396.886842105265</v>
      </c>
    </row>
    <row r="39" spans="1:23" x14ac:dyDescent="0.25">
      <c r="A39" s="3" t="s">
        <v>249</v>
      </c>
      <c r="B39" s="3">
        <f>4343.42*2</f>
        <v>8686.84</v>
      </c>
      <c r="C39" s="3"/>
      <c r="D39" s="3" t="s">
        <v>251</v>
      </c>
      <c r="E39" s="3">
        <f>E37+E38</f>
        <v>20087.805789473685</v>
      </c>
      <c r="G39" s="3" t="s">
        <v>249</v>
      </c>
      <c r="H39" s="3">
        <f>2160.94*2</f>
        <v>4321.88</v>
      </c>
      <c r="I39" s="3"/>
      <c r="J39" s="3" t="s">
        <v>251</v>
      </c>
      <c r="K39" s="3">
        <f>K37+K38</f>
        <v>8543.6352631578957</v>
      </c>
      <c r="M39" s="3" t="s">
        <v>249</v>
      </c>
      <c r="N39" s="3">
        <f>2967.43*2</f>
        <v>5934.86</v>
      </c>
      <c r="O39" s="3"/>
      <c r="P39" s="3" t="s">
        <v>251</v>
      </c>
      <c r="Q39" s="3">
        <f>Q37+Q38</f>
        <v>12809.542894736842</v>
      </c>
      <c r="S39" s="3" t="s">
        <v>249</v>
      </c>
      <c r="T39" s="3">
        <f>4950.18*2</f>
        <v>9900.36</v>
      </c>
      <c r="U39" s="3"/>
      <c r="V39" s="3" t="s">
        <v>251</v>
      </c>
      <c r="W39" s="3">
        <f>W37+W38</f>
        <v>23297.246842105265</v>
      </c>
    </row>
    <row r="40" spans="1:23" x14ac:dyDescent="0.25">
      <c r="A40" s="3" t="s">
        <v>252</v>
      </c>
      <c r="B40" s="3">
        <v>5470.93</v>
      </c>
      <c r="C40" s="3"/>
      <c r="D40" s="3" t="s">
        <v>252</v>
      </c>
      <c r="E40" s="3">
        <v>13381.48</v>
      </c>
      <c r="G40" s="3" t="s">
        <v>252</v>
      </c>
      <c r="H40" s="3">
        <v>644.59</v>
      </c>
      <c r="I40" s="3"/>
      <c r="J40" s="3" t="s">
        <v>252</v>
      </c>
      <c r="K40" s="3">
        <v>5470.93</v>
      </c>
      <c r="M40" s="3" t="s">
        <v>252</v>
      </c>
      <c r="N40" s="3">
        <v>5470.93</v>
      </c>
      <c r="O40" s="3"/>
      <c r="P40" s="3" t="s">
        <v>252</v>
      </c>
      <c r="Q40" s="3">
        <v>11176.63</v>
      </c>
      <c r="S40" s="3" t="s">
        <v>252</v>
      </c>
      <c r="T40" s="3">
        <v>9614.67</v>
      </c>
      <c r="U40" s="3"/>
      <c r="V40" s="3" t="s">
        <v>252</v>
      </c>
      <c r="W40" s="3">
        <v>13381.48</v>
      </c>
    </row>
    <row r="41" spans="1:23" x14ac:dyDescent="0.25">
      <c r="A41" s="3" t="s">
        <v>253</v>
      </c>
      <c r="B41" s="3">
        <v>11716.63</v>
      </c>
      <c r="C41" s="3"/>
      <c r="D41" s="3" t="s">
        <v>253</v>
      </c>
      <c r="E41" s="3">
        <f>(E39-E40)</f>
        <v>6706.3257894736853</v>
      </c>
      <c r="G41" s="3" t="s">
        <v>253</v>
      </c>
      <c r="H41" s="3">
        <v>11716.63</v>
      </c>
      <c r="I41" s="3"/>
      <c r="J41" s="3" t="s">
        <v>253</v>
      </c>
      <c r="K41" s="3">
        <f>(K39-K40)</f>
        <v>3072.7052631578954</v>
      </c>
      <c r="M41" s="3" t="s">
        <v>253</v>
      </c>
      <c r="N41" s="3">
        <v>11716.63</v>
      </c>
      <c r="O41" s="3"/>
      <c r="P41" s="3" t="s">
        <v>253</v>
      </c>
      <c r="Q41" s="3">
        <f>(Q39-Q40)</f>
        <v>1632.9128947368426</v>
      </c>
      <c r="S41" s="3" t="s">
        <v>253</v>
      </c>
      <c r="T41" s="3">
        <v>11716.63</v>
      </c>
      <c r="U41" s="3"/>
      <c r="V41" s="3" t="s">
        <v>253</v>
      </c>
      <c r="W41" s="3">
        <f>(W39-W40)</f>
        <v>9915.7668421052658</v>
      </c>
    </row>
    <row r="42" spans="1:23" x14ac:dyDescent="0.25">
      <c r="A42" s="3" t="s">
        <v>254</v>
      </c>
      <c r="B42" s="5">
        <v>0.10879999999999999</v>
      </c>
      <c r="C42" s="3"/>
      <c r="D42" s="3" t="s">
        <v>254</v>
      </c>
      <c r="E42" s="5">
        <v>0.21360000000000001</v>
      </c>
      <c r="G42" s="3" t="s">
        <v>254</v>
      </c>
      <c r="H42" s="5">
        <v>6.4000000000000001E-2</v>
      </c>
      <c r="I42" s="3"/>
      <c r="J42" s="3" t="s">
        <v>254</v>
      </c>
      <c r="K42" s="5">
        <v>0.10879999999999999</v>
      </c>
      <c r="M42" s="3" t="s">
        <v>254</v>
      </c>
      <c r="N42" s="5">
        <v>0.10879999999999999</v>
      </c>
      <c r="O42" s="3"/>
      <c r="P42" s="3" t="s">
        <v>254</v>
      </c>
      <c r="Q42" s="5">
        <v>0.1792</v>
      </c>
      <c r="S42" s="3" t="s">
        <v>254</v>
      </c>
      <c r="T42" s="5">
        <v>0.16</v>
      </c>
      <c r="U42" s="3"/>
      <c r="V42" s="3" t="s">
        <v>254</v>
      </c>
      <c r="W42" s="5">
        <v>0.21360000000000001</v>
      </c>
    </row>
    <row r="43" spans="1:23" x14ac:dyDescent="0.25">
      <c r="A43" s="3" t="s">
        <v>255</v>
      </c>
      <c r="B43" s="3">
        <f>B41*B42</f>
        <v>1274.7693439999998</v>
      </c>
      <c r="C43" s="3"/>
      <c r="D43" s="3" t="s">
        <v>255</v>
      </c>
      <c r="E43" s="3">
        <f>(E41*E42)</f>
        <v>1432.4711886315793</v>
      </c>
      <c r="G43" s="3" t="s">
        <v>255</v>
      </c>
      <c r="H43" s="3">
        <f>H41*H42</f>
        <v>749.86432000000002</v>
      </c>
      <c r="I43" s="3"/>
      <c r="J43" s="3" t="s">
        <v>255</v>
      </c>
      <c r="K43" s="3">
        <f>(K41*K42)</f>
        <v>334.310332631579</v>
      </c>
      <c r="M43" s="3" t="s">
        <v>255</v>
      </c>
      <c r="N43" s="3">
        <f>N41*N42</f>
        <v>1274.7693439999998</v>
      </c>
      <c r="O43" s="3"/>
      <c r="P43" s="3" t="s">
        <v>255</v>
      </c>
      <c r="Q43" s="3">
        <f>(Q41*Q42)</f>
        <v>292.61799073684222</v>
      </c>
      <c r="S43" s="3" t="s">
        <v>255</v>
      </c>
      <c r="T43" s="3">
        <f>T41*T42</f>
        <v>1874.6607999999999</v>
      </c>
      <c r="U43" s="3"/>
      <c r="V43" s="3" t="s">
        <v>255</v>
      </c>
      <c r="W43" s="3">
        <f>(W41*W42)</f>
        <v>2118.0077974736851</v>
      </c>
    </row>
    <row r="44" spans="1:23" x14ac:dyDescent="0.25">
      <c r="A44" s="3" t="s">
        <v>256</v>
      </c>
      <c r="B44" s="3">
        <v>321.26</v>
      </c>
      <c r="C44" s="3"/>
      <c r="D44" s="3" t="s">
        <v>256</v>
      </c>
      <c r="E44" s="3">
        <v>1417.12</v>
      </c>
      <c r="G44" s="3" t="s">
        <v>256</v>
      </c>
      <c r="H44" s="3">
        <v>12.38</v>
      </c>
      <c r="I44" s="3"/>
      <c r="J44" s="3" t="s">
        <v>256</v>
      </c>
      <c r="K44" s="3">
        <v>321.26</v>
      </c>
      <c r="M44" s="3" t="s">
        <v>256</v>
      </c>
      <c r="N44" s="3">
        <v>321.26</v>
      </c>
      <c r="O44" s="3"/>
      <c r="P44" s="3" t="s">
        <v>256</v>
      </c>
      <c r="Q44" s="3">
        <v>1022.01</v>
      </c>
      <c r="S44" s="3" t="s">
        <v>256</v>
      </c>
      <c r="T44" s="3">
        <v>772.1</v>
      </c>
      <c r="U44" s="3"/>
      <c r="V44" s="3" t="s">
        <v>256</v>
      </c>
      <c r="W44" s="3">
        <v>1417.12</v>
      </c>
    </row>
    <row r="45" spans="1:23" x14ac:dyDescent="0.25">
      <c r="A45" s="3" t="s">
        <v>257</v>
      </c>
      <c r="B45" s="3">
        <f>B43+B44</f>
        <v>1596.0293439999998</v>
      </c>
      <c r="C45" s="3"/>
      <c r="D45" s="3" t="s">
        <v>257</v>
      </c>
      <c r="E45" s="3">
        <f>(E43+E44)</f>
        <v>2849.5911886315789</v>
      </c>
      <c r="G45" s="3" t="s">
        <v>257</v>
      </c>
      <c r="H45" s="3">
        <f>H43+H44</f>
        <v>762.24432000000002</v>
      </c>
      <c r="I45" s="3"/>
      <c r="J45" s="3" t="s">
        <v>257</v>
      </c>
      <c r="K45" s="3">
        <f>(K43+K44)</f>
        <v>655.57033263157905</v>
      </c>
      <c r="M45" s="3" t="s">
        <v>257</v>
      </c>
      <c r="N45" s="3">
        <f>N43+N44</f>
        <v>1596.0293439999998</v>
      </c>
      <c r="O45" s="3"/>
      <c r="P45" s="3" t="s">
        <v>257</v>
      </c>
      <c r="Q45" s="3">
        <f>(Q43+Q44)</f>
        <v>1314.6279907368421</v>
      </c>
      <c r="S45" s="3" t="s">
        <v>257</v>
      </c>
      <c r="T45" s="3">
        <f>T43+T44</f>
        <v>2646.7608</v>
      </c>
      <c r="U45" s="3"/>
      <c r="V45" s="3" t="s">
        <v>257</v>
      </c>
      <c r="W45" s="3">
        <f>(W43+W44)</f>
        <v>3535.127797473685</v>
      </c>
    </row>
    <row r="46" spans="1:23" x14ac:dyDescent="0.25">
      <c r="A46" s="3" t="s">
        <v>258</v>
      </c>
      <c r="B46" s="3"/>
      <c r="C46" s="3"/>
      <c r="D46" s="3" t="s">
        <v>258</v>
      </c>
      <c r="E46" s="3"/>
      <c r="G46" s="3" t="s">
        <v>258</v>
      </c>
      <c r="H46" s="3"/>
      <c r="I46" s="3"/>
      <c r="J46" s="3" t="s">
        <v>258</v>
      </c>
      <c r="K46" s="3"/>
      <c r="M46" s="3" t="s">
        <v>258</v>
      </c>
      <c r="N46" s="3"/>
      <c r="O46" s="3"/>
      <c r="P46" s="3" t="s">
        <v>258</v>
      </c>
      <c r="Q46" s="3"/>
      <c r="S46" s="3" t="s">
        <v>258</v>
      </c>
      <c r="T46" s="3"/>
      <c r="U46" s="3"/>
      <c r="V46" s="3" t="s">
        <v>258</v>
      </c>
      <c r="W46" s="3"/>
    </row>
    <row r="47" spans="1:23" x14ac:dyDescent="0.25">
      <c r="A47" s="3" t="s">
        <v>259</v>
      </c>
      <c r="B47" s="3">
        <f>(B45-B46)</f>
        <v>1596.0293439999998</v>
      </c>
      <c r="C47" s="3"/>
      <c r="D47" s="3" t="s">
        <v>259</v>
      </c>
      <c r="E47" s="3">
        <f>(E45-E46)</f>
        <v>2849.5911886315789</v>
      </c>
      <c r="G47" s="3" t="s">
        <v>259</v>
      </c>
      <c r="H47" s="3">
        <f>(H45-H46)</f>
        <v>762.24432000000002</v>
      </c>
      <c r="I47" s="3"/>
      <c r="J47" s="3" t="s">
        <v>259</v>
      </c>
      <c r="K47" s="3">
        <f>(K45-K46)</f>
        <v>655.57033263157905</v>
      </c>
      <c r="M47" s="3" t="s">
        <v>259</v>
      </c>
      <c r="N47" s="3">
        <f>(N45-N46)</f>
        <v>1596.0293439999998</v>
      </c>
      <c r="O47" s="3"/>
      <c r="P47" s="3" t="s">
        <v>259</v>
      </c>
      <c r="Q47" s="3">
        <f>(Q45-Q46)</f>
        <v>1314.6279907368421</v>
      </c>
      <c r="S47" s="3" t="s">
        <v>259</v>
      </c>
      <c r="T47" s="3">
        <f>(T45-T46)</f>
        <v>2646.7608</v>
      </c>
      <c r="U47" s="3"/>
      <c r="V47" s="3" t="s">
        <v>259</v>
      </c>
      <c r="W47" s="3">
        <f>(W45-W46)</f>
        <v>3535.127797473685</v>
      </c>
    </row>
    <row r="48" spans="1:23" x14ac:dyDescent="0.25">
      <c r="A48" s="3"/>
      <c r="B48" s="3"/>
      <c r="C48" s="3"/>
      <c r="D48" s="3"/>
      <c r="E48" s="3"/>
      <c r="G48" s="3"/>
      <c r="H48" s="3"/>
      <c r="I48" s="3"/>
      <c r="J48" s="3"/>
      <c r="K48" s="3"/>
      <c r="M48" s="3"/>
      <c r="N48" s="3"/>
      <c r="O48" s="3"/>
      <c r="P48" s="3"/>
      <c r="Q48" s="3"/>
      <c r="S48" s="3"/>
      <c r="T48" s="3"/>
      <c r="U48" s="3"/>
      <c r="V48" s="3"/>
      <c r="W48" s="3"/>
    </row>
    <row r="49" spans="1:23" x14ac:dyDescent="0.25">
      <c r="A49" s="3"/>
      <c r="B49" s="3"/>
      <c r="C49" s="3"/>
      <c r="D49" s="3" t="s">
        <v>260</v>
      </c>
      <c r="E49" s="3">
        <f>E47-B47</f>
        <v>1253.5618446315791</v>
      </c>
      <c r="G49" s="3"/>
      <c r="H49" s="3"/>
      <c r="I49" s="3"/>
      <c r="J49" s="3" t="s">
        <v>260</v>
      </c>
      <c r="K49" s="3">
        <f>K47-H47</f>
        <v>-106.67398736842097</v>
      </c>
      <c r="M49" s="3"/>
      <c r="N49" s="3"/>
      <c r="O49" s="3"/>
      <c r="P49" s="3" t="s">
        <v>260</v>
      </c>
      <c r="Q49" s="3">
        <f>Q47-N47</f>
        <v>-281.40135326315772</v>
      </c>
      <c r="S49" s="3"/>
      <c r="T49" s="3"/>
      <c r="U49" s="3"/>
      <c r="V49" s="3" t="s">
        <v>260</v>
      </c>
      <c r="W49" s="3">
        <f>W47-T47</f>
        <v>888.36699747368493</v>
      </c>
    </row>
  </sheetData>
  <mergeCells count="24">
    <mergeCell ref="S1:T1"/>
    <mergeCell ref="V1:W1"/>
    <mergeCell ref="A18:B18"/>
    <mergeCell ref="D18:E18"/>
    <mergeCell ref="G18:H18"/>
    <mergeCell ref="J18:K18"/>
    <mergeCell ref="M18:N18"/>
    <mergeCell ref="P18:Q18"/>
    <mergeCell ref="S18:T18"/>
    <mergeCell ref="V18:W18"/>
    <mergeCell ref="A1:B1"/>
    <mergeCell ref="D1:E1"/>
    <mergeCell ref="G1:H1"/>
    <mergeCell ref="J1:K1"/>
    <mergeCell ref="M1:N1"/>
    <mergeCell ref="P1:Q1"/>
    <mergeCell ref="S35:T35"/>
    <mergeCell ref="V35:W35"/>
    <mergeCell ref="A35:B35"/>
    <mergeCell ref="D35:E35"/>
    <mergeCell ref="G35:H35"/>
    <mergeCell ref="J35:K35"/>
    <mergeCell ref="M35:N35"/>
    <mergeCell ref="P35:Q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76998-61FF-4A42-83B6-F7967D4A724F}">
  <dimension ref="A1:W48"/>
  <sheetViews>
    <sheetView workbookViewId="0">
      <selection activeCell="F17" sqref="F17"/>
    </sheetView>
  </sheetViews>
  <sheetFormatPr baseColWidth="10" defaultRowHeight="15" x14ac:dyDescent="0.25"/>
  <cols>
    <col min="1" max="1" width="25.42578125" customWidth="1"/>
    <col min="4" max="4" width="24.7109375" customWidth="1"/>
    <col min="7" max="7" width="24.28515625" customWidth="1"/>
    <col min="10" max="10" width="24.85546875" customWidth="1"/>
    <col min="13" max="13" width="25.85546875" customWidth="1"/>
    <col min="16" max="16" width="24" customWidth="1"/>
    <col min="19" max="19" width="25.42578125" customWidth="1"/>
    <col min="22" max="22" width="24.7109375" customWidth="1"/>
  </cols>
  <sheetData>
    <row r="1" spans="1:23" ht="18.75" x14ac:dyDescent="0.3">
      <c r="A1" s="95" t="s">
        <v>245</v>
      </c>
      <c r="B1" s="96"/>
      <c r="C1" s="3"/>
      <c r="D1" s="96"/>
      <c r="E1" s="96"/>
      <c r="G1" s="97" t="s">
        <v>246</v>
      </c>
      <c r="H1" s="97"/>
      <c r="M1" s="93" t="s">
        <v>247</v>
      </c>
      <c r="N1" s="94"/>
      <c r="S1" s="95" t="s">
        <v>248</v>
      </c>
      <c r="T1" s="96"/>
      <c r="U1" s="3"/>
      <c r="V1" s="3"/>
      <c r="W1" s="3"/>
    </row>
    <row r="2" spans="1:23" x14ac:dyDescent="0.25">
      <c r="A2" s="3"/>
      <c r="B2" s="3"/>
      <c r="C2" s="3"/>
      <c r="D2" s="3"/>
      <c r="E2" s="3"/>
      <c r="S2" s="3"/>
      <c r="T2" s="3"/>
      <c r="U2" s="3"/>
      <c r="V2" s="3" t="s">
        <v>249</v>
      </c>
      <c r="W2" s="3">
        <f>T4</f>
        <v>0</v>
      </c>
    </row>
    <row r="3" spans="1:23" x14ac:dyDescent="0.25">
      <c r="A3" s="3"/>
      <c r="B3" s="3"/>
      <c r="C3" s="3"/>
      <c r="D3" s="3" t="s">
        <v>249</v>
      </c>
      <c r="E3" s="3">
        <f>B5</f>
        <v>24700</v>
      </c>
      <c r="G3" s="3"/>
      <c r="H3" s="3"/>
      <c r="I3" s="3"/>
      <c r="J3" s="3" t="s">
        <v>249</v>
      </c>
      <c r="K3" s="3">
        <f>H5</f>
        <v>24700</v>
      </c>
      <c r="M3" s="3"/>
      <c r="N3" s="3"/>
      <c r="O3" s="3"/>
      <c r="P3" s="3" t="s">
        <v>249</v>
      </c>
      <c r="Q3" s="3">
        <f>N5</f>
        <v>24700</v>
      </c>
      <c r="S3" s="3"/>
      <c r="T3" s="3"/>
      <c r="U3" s="3"/>
      <c r="V3" s="3" t="s">
        <v>249</v>
      </c>
      <c r="W3" s="3">
        <f>T5</f>
        <v>24700</v>
      </c>
    </row>
    <row r="4" spans="1:23" x14ac:dyDescent="0.25">
      <c r="A4" s="3"/>
      <c r="B4" s="3"/>
      <c r="C4" s="3"/>
      <c r="D4" s="3" t="s">
        <v>250</v>
      </c>
      <c r="E4" s="3">
        <v>37738.400000000001</v>
      </c>
      <c r="G4" s="3"/>
      <c r="H4" s="3"/>
      <c r="I4" s="3"/>
      <c r="J4" s="3" t="s">
        <v>250</v>
      </c>
      <c r="K4" s="3">
        <v>37738.400000000001</v>
      </c>
      <c r="M4" s="3"/>
      <c r="N4" s="3"/>
      <c r="O4" s="3"/>
      <c r="P4" s="3" t="s">
        <v>250</v>
      </c>
      <c r="Q4" s="3">
        <v>37738.400000000001</v>
      </c>
      <c r="S4" s="3"/>
      <c r="T4" s="3"/>
      <c r="U4" s="3"/>
      <c r="V4" s="3" t="s">
        <v>250</v>
      </c>
      <c r="W4" s="3">
        <v>37738.400000000001</v>
      </c>
    </row>
    <row r="5" spans="1:23" x14ac:dyDescent="0.25">
      <c r="A5" s="3" t="s">
        <v>249</v>
      </c>
      <c r="B5" s="3">
        <f>12350*2</f>
        <v>24700</v>
      </c>
      <c r="C5" s="3"/>
      <c r="D5" s="3" t="s">
        <v>251</v>
      </c>
      <c r="E5" s="3">
        <f>E3+E4</f>
        <v>62438.400000000001</v>
      </c>
      <c r="G5" s="3" t="s">
        <v>249</v>
      </c>
      <c r="H5" s="3">
        <f>12350*2</f>
        <v>24700</v>
      </c>
      <c r="I5" s="3"/>
      <c r="J5" s="3" t="s">
        <v>251</v>
      </c>
      <c r="K5" s="3">
        <f>K3+K4</f>
        <v>62438.400000000001</v>
      </c>
      <c r="M5" s="3" t="s">
        <v>249</v>
      </c>
      <c r="N5" s="3">
        <f>12350*2</f>
        <v>24700</v>
      </c>
      <c r="O5" s="3"/>
      <c r="P5" s="3" t="s">
        <v>251</v>
      </c>
      <c r="Q5" s="3">
        <f>Q3+Q4</f>
        <v>62438.400000000001</v>
      </c>
      <c r="S5" s="3" t="s">
        <v>249</v>
      </c>
      <c r="T5" s="3">
        <f>12350*2</f>
        <v>24700</v>
      </c>
      <c r="U5" s="3"/>
      <c r="V5" s="3" t="s">
        <v>251</v>
      </c>
      <c r="W5" s="3">
        <f>W3+W4</f>
        <v>62438.400000000001</v>
      </c>
    </row>
    <row r="6" spans="1:23" x14ac:dyDescent="0.25">
      <c r="A6" s="3" t="s">
        <v>252</v>
      </c>
      <c r="B6" s="3">
        <v>13381.48</v>
      </c>
      <c r="C6" s="3"/>
      <c r="D6" s="3" t="s">
        <v>252</v>
      </c>
      <c r="E6" s="3">
        <v>42537.59</v>
      </c>
      <c r="G6" s="3" t="s">
        <v>252</v>
      </c>
      <c r="H6" s="3">
        <v>13381.48</v>
      </c>
      <c r="I6" s="3"/>
      <c r="J6" s="3" t="s">
        <v>252</v>
      </c>
      <c r="K6" s="3">
        <v>42537.59</v>
      </c>
      <c r="M6" s="3" t="s">
        <v>252</v>
      </c>
      <c r="N6" s="3">
        <v>13381.48</v>
      </c>
      <c r="O6" s="3"/>
      <c r="P6" s="3" t="s">
        <v>252</v>
      </c>
      <c r="Q6" s="3">
        <v>42537.59</v>
      </c>
      <c r="S6" s="3" t="s">
        <v>252</v>
      </c>
      <c r="T6" s="3">
        <v>13381.48</v>
      </c>
      <c r="U6" s="3"/>
      <c r="V6" s="3" t="s">
        <v>252</v>
      </c>
      <c r="W6" s="3">
        <v>42537.59</v>
      </c>
    </row>
    <row r="7" spans="1:23" x14ac:dyDescent="0.25">
      <c r="A7" s="3" t="s">
        <v>253</v>
      </c>
      <c r="B7" s="3">
        <f>B5-B6</f>
        <v>11318.52</v>
      </c>
      <c r="C7" s="3"/>
      <c r="D7" s="3" t="s">
        <v>253</v>
      </c>
      <c r="E7" s="3">
        <f>(E5-E6)</f>
        <v>19900.810000000005</v>
      </c>
      <c r="G7" s="3" t="s">
        <v>253</v>
      </c>
      <c r="H7" s="3">
        <f>H5-H6</f>
        <v>11318.52</v>
      </c>
      <c r="I7" s="3"/>
      <c r="J7" s="3" t="s">
        <v>253</v>
      </c>
      <c r="K7" s="3">
        <f>(K5-K6)</f>
        <v>19900.810000000005</v>
      </c>
      <c r="M7" s="3" t="s">
        <v>253</v>
      </c>
      <c r="N7" s="3">
        <f>N5-N6</f>
        <v>11318.52</v>
      </c>
      <c r="O7" s="3"/>
      <c r="P7" s="3" t="s">
        <v>253</v>
      </c>
      <c r="Q7" s="3">
        <f>(Q5-Q6)</f>
        <v>19900.810000000005</v>
      </c>
      <c r="S7" s="3" t="s">
        <v>253</v>
      </c>
      <c r="T7" s="3">
        <f>T5-T6</f>
        <v>11318.52</v>
      </c>
      <c r="U7" s="3"/>
      <c r="V7" s="3" t="s">
        <v>253</v>
      </c>
      <c r="W7" s="3">
        <f>(W5-W6)</f>
        <v>19900.810000000005</v>
      </c>
    </row>
    <row r="8" spans="1:23" x14ac:dyDescent="0.25">
      <c r="A8" s="3" t="s">
        <v>254</v>
      </c>
      <c r="B8" s="5">
        <v>0.21360000000000001</v>
      </c>
      <c r="C8" s="3"/>
      <c r="D8" s="3" t="s">
        <v>254</v>
      </c>
      <c r="E8" s="5">
        <v>0.3</v>
      </c>
      <c r="G8" s="3" t="s">
        <v>254</v>
      </c>
      <c r="H8" s="5">
        <v>0.21360000000000001</v>
      </c>
      <c r="I8" s="3"/>
      <c r="J8" s="3" t="s">
        <v>254</v>
      </c>
      <c r="K8" s="5">
        <v>0.3</v>
      </c>
      <c r="M8" s="3" t="s">
        <v>254</v>
      </c>
      <c r="N8" s="5">
        <v>0.21360000000000001</v>
      </c>
      <c r="O8" s="3"/>
      <c r="P8" s="3" t="s">
        <v>254</v>
      </c>
      <c r="Q8" s="5">
        <v>0.3</v>
      </c>
      <c r="S8" s="3" t="s">
        <v>254</v>
      </c>
      <c r="T8" s="5">
        <v>0.21360000000000001</v>
      </c>
      <c r="U8" s="3"/>
      <c r="V8" s="3" t="s">
        <v>254</v>
      </c>
      <c r="W8" s="5">
        <v>0.3</v>
      </c>
    </row>
    <row r="9" spans="1:23" x14ac:dyDescent="0.25">
      <c r="A9" s="3" t="s">
        <v>255</v>
      </c>
      <c r="B9" s="3">
        <f>B7*B8</f>
        <v>2417.6358720000003</v>
      </c>
      <c r="C9" s="3"/>
      <c r="D9" s="3" t="s">
        <v>255</v>
      </c>
      <c r="E9" s="3">
        <f>(E7*E8)</f>
        <v>5970.2430000000013</v>
      </c>
      <c r="G9" s="3" t="s">
        <v>255</v>
      </c>
      <c r="H9" s="3">
        <f>H7*H8</f>
        <v>2417.6358720000003</v>
      </c>
      <c r="I9" s="3"/>
      <c r="J9" s="3" t="s">
        <v>255</v>
      </c>
      <c r="K9" s="3">
        <f>(K7*K8)</f>
        <v>5970.2430000000013</v>
      </c>
      <c r="M9" s="3" t="s">
        <v>255</v>
      </c>
      <c r="N9" s="3">
        <f>N7*N8</f>
        <v>2417.6358720000003</v>
      </c>
      <c r="O9" s="3"/>
      <c r="P9" s="3" t="s">
        <v>255</v>
      </c>
      <c r="Q9" s="3">
        <f>(Q7*Q8)</f>
        <v>5970.2430000000013</v>
      </c>
      <c r="S9" s="3" t="s">
        <v>255</v>
      </c>
      <c r="T9" s="3">
        <f>T7*T8</f>
        <v>2417.6358720000003</v>
      </c>
      <c r="U9" s="3"/>
      <c r="V9" s="3" t="s">
        <v>255</v>
      </c>
      <c r="W9" s="3">
        <f>(W7*W8)</f>
        <v>5970.2430000000013</v>
      </c>
    </row>
    <row r="10" spans="1:23" x14ac:dyDescent="0.25">
      <c r="A10" s="3" t="s">
        <v>256</v>
      </c>
      <c r="B10" s="3">
        <v>1417.12</v>
      </c>
      <c r="C10" s="3"/>
      <c r="D10" s="3" t="s">
        <v>256</v>
      </c>
      <c r="E10" s="3">
        <v>7980.73</v>
      </c>
      <c r="G10" s="3" t="s">
        <v>256</v>
      </c>
      <c r="H10" s="3">
        <v>1417.12</v>
      </c>
      <c r="I10" s="3"/>
      <c r="J10" s="3" t="s">
        <v>256</v>
      </c>
      <c r="K10" s="3">
        <v>7980.73</v>
      </c>
      <c r="M10" s="3" t="s">
        <v>256</v>
      </c>
      <c r="N10" s="3">
        <v>1417.12</v>
      </c>
      <c r="O10" s="3"/>
      <c r="P10" s="3" t="s">
        <v>256</v>
      </c>
      <c r="Q10" s="3">
        <v>7980.73</v>
      </c>
      <c r="S10" s="3" t="s">
        <v>256</v>
      </c>
      <c r="T10" s="3">
        <v>1417.12</v>
      </c>
      <c r="U10" s="3"/>
      <c r="V10" s="3" t="s">
        <v>256</v>
      </c>
      <c r="W10" s="3">
        <v>7980.73</v>
      </c>
    </row>
    <row r="11" spans="1:23" x14ac:dyDescent="0.25">
      <c r="A11" s="3" t="s">
        <v>257</v>
      </c>
      <c r="B11" s="3">
        <f>B9+B10</f>
        <v>3834.7558720000002</v>
      </c>
      <c r="C11" s="3"/>
      <c r="D11" s="3" t="s">
        <v>257</v>
      </c>
      <c r="E11" s="3">
        <f>(E9+E10)</f>
        <v>13950.973000000002</v>
      </c>
      <c r="G11" s="3" t="s">
        <v>257</v>
      </c>
      <c r="H11" s="3">
        <f>H9+H10</f>
        <v>3834.7558720000002</v>
      </c>
      <c r="I11" s="3"/>
      <c r="J11" s="3" t="s">
        <v>257</v>
      </c>
      <c r="K11" s="3">
        <f>(K9+K10)</f>
        <v>13950.973000000002</v>
      </c>
      <c r="M11" s="3" t="s">
        <v>257</v>
      </c>
      <c r="N11" s="3">
        <f>N9+N10</f>
        <v>3834.7558720000002</v>
      </c>
      <c r="O11" s="3"/>
      <c r="P11" s="3" t="s">
        <v>257</v>
      </c>
      <c r="Q11" s="3">
        <f>(Q9+Q10)</f>
        <v>13950.973000000002</v>
      </c>
      <c r="S11" s="3" t="s">
        <v>257</v>
      </c>
      <c r="T11" s="3">
        <f>T9+T10</f>
        <v>3834.7558720000002</v>
      </c>
      <c r="U11" s="3"/>
      <c r="V11" s="3" t="s">
        <v>257</v>
      </c>
      <c r="W11" s="3">
        <f>(W9+W10)</f>
        <v>13950.973000000002</v>
      </c>
    </row>
    <row r="12" spans="1:23" x14ac:dyDescent="0.25">
      <c r="A12" s="3" t="s">
        <v>258</v>
      </c>
      <c r="B12" s="3"/>
      <c r="C12" s="3"/>
      <c r="D12" s="3" t="s">
        <v>258</v>
      </c>
      <c r="E12" s="3"/>
      <c r="G12" s="3" t="s">
        <v>258</v>
      </c>
      <c r="H12" s="3"/>
      <c r="I12" s="3"/>
      <c r="J12" s="3" t="s">
        <v>258</v>
      </c>
      <c r="K12" s="3"/>
      <c r="M12" s="3" t="s">
        <v>258</v>
      </c>
      <c r="N12" s="3"/>
      <c r="O12" s="3"/>
      <c r="P12" s="3" t="s">
        <v>258</v>
      </c>
      <c r="Q12" s="3"/>
      <c r="S12" s="3" t="s">
        <v>258</v>
      </c>
      <c r="T12" s="3"/>
      <c r="U12" s="3"/>
      <c r="V12" s="3" t="s">
        <v>258</v>
      </c>
      <c r="W12" s="3"/>
    </row>
    <row r="13" spans="1:23" x14ac:dyDescent="0.25">
      <c r="A13" s="3" t="s">
        <v>259</v>
      </c>
      <c r="B13" s="3">
        <f>(B11-B12)</f>
        <v>3834.7558720000002</v>
      </c>
      <c r="C13" s="3"/>
      <c r="D13" s="3" t="s">
        <v>259</v>
      </c>
      <c r="E13" s="3">
        <f>(E11-E12)</f>
        <v>13950.973000000002</v>
      </c>
      <c r="G13" s="3" t="s">
        <v>259</v>
      </c>
      <c r="H13" s="3">
        <f>(H11-H12)</f>
        <v>3834.7558720000002</v>
      </c>
      <c r="I13" s="3"/>
      <c r="J13" s="3" t="s">
        <v>259</v>
      </c>
      <c r="K13" s="3">
        <f>(K11-K12)</f>
        <v>13950.973000000002</v>
      </c>
      <c r="M13" s="3" t="s">
        <v>259</v>
      </c>
      <c r="N13" s="3">
        <f>(N11-N12)</f>
        <v>3834.7558720000002</v>
      </c>
      <c r="O13" s="3"/>
      <c r="P13" s="3" t="s">
        <v>259</v>
      </c>
      <c r="Q13" s="3">
        <f>(Q11-Q12)</f>
        <v>13950.973000000002</v>
      </c>
      <c r="S13" s="3" t="s">
        <v>259</v>
      </c>
      <c r="T13" s="3">
        <f>(T11-T12)</f>
        <v>3834.7558720000002</v>
      </c>
      <c r="U13" s="3"/>
      <c r="V13" s="3" t="s">
        <v>259</v>
      </c>
      <c r="W13" s="3">
        <f>(W11-W12)</f>
        <v>13950.973000000002</v>
      </c>
    </row>
    <row r="14" spans="1:23" x14ac:dyDescent="0.25">
      <c r="A14" s="3"/>
      <c r="B14" s="3"/>
      <c r="C14" s="3"/>
      <c r="D14" s="3"/>
      <c r="E14" s="3"/>
      <c r="G14" s="3"/>
      <c r="H14" s="3"/>
      <c r="I14" s="3"/>
      <c r="J14" s="3"/>
      <c r="K14" s="3"/>
      <c r="M14" s="3"/>
      <c r="N14" s="3"/>
      <c r="O14" s="3"/>
      <c r="P14" s="3"/>
      <c r="Q14" s="3"/>
      <c r="S14" s="3"/>
      <c r="T14" s="3"/>
      <c r="U14" s="3"/>
      <c r="V14" s="3"/>
      <c r="W14" s="3"/>
    </row>
    <row r="15" spans="1:23" x14ac:dyDescent="0.25">
      <c r="A15" s="3"/>
      <c r="B15" s="3"/>
      <c r="C15" s="3"/>
      <c r="D15" s="3" t="s">
        <v>260</v>
      </c>
      <c r="E15" s="3">
        <f>E13-B13</f>
        <v>10116.217128000002</v>
      </c>
      <c r="G15" s="3"/>
      <c r="H15" s="3"/>
      <c r="I15" s="3"/>
      <c r="J15" s="3" t="s">
        <v>260</v>
      </c>
      <c r="K15" s="3">
        <f>K13-H13</f>
        <v>10116.217128000002</v>
      </c>
      <c r="M15" s="3"/>
      <c r="N15" s="3"/>
      <c r="O15" s="3"/>
      <c r="P15" s="3" t="s">
        <v>260</v>
      </c>
      <c r="Q15" s="3">
        <f>Q13-N13</f>
        <v>10116.217128000002</v>
      </c>
      <c r="S15" s="3"/>
      <c r="T15" s="3"/>
      <c r="U15" s="3"/>
      <c r="V15" s="3" t="s">
        <v>260</v>
      </c>
      <c r="W15" s="3">
        <f>W13-T13</f>
        <v>10116.217128000002</v>
      </c>
    </row>
    <row r="18" spans="1:23" ht="18.75" x14ac:dyDescent="0.3">
      <c r="A18" s="95" t="s">
        <v>261</v>
      </c>
      <c r="B18" s="96"/>
      <c r="C18" s="3"/>
      <c r="D18" s="3"/>
      <c r="E18" s="3"/>
      <c r="G18" s="95" t="s">
        <v>262</v>
      </c>
      <c r="H18" s="95"/>
      <c r="I18" s="3"/>
      <c r="J18" s="3"/>
      <c r="K18" s="3"/>
      <c r="M18" s="95" t="s">
        <v>263</v>
      </c>
      <c r="N18" s="96"/>
      <c r="O18" s="3"/>
      <c r="P18" s="3"/>
      <c r="Q18" s="3"/>
      <c r="S18" s="95" t="s">
        <v>264</v>
      </c>
      <c r="T18" s="96"/>
      <c r="U18" s="3"/>
      <c r="V18" s="3"/>
      <c r="W18" s="3"/>
    </row>
    <row r="19" spans="1:23" ht="18.75" x14ac:dyDescent="0.3">
      <c r="A19" s="1"/>
      <c r="B19" s="2"/>
      <c r="C19" s="3"/>
      <c r="D19" s="3"/>
      <c r="E19" s="3"/>
      <c r="G19" s="1"/>
      <c r="H19" s="1"/>
      <c r="I19" s="3"/>
      <c r="J19" s="3"/>
      <c r="K19" s="3"/>
      <c r="M19" s="1"/>
      <c r="N19" s="2"/>
      <c r="O19" s="3"/>
      <c r="P19" s="3"/>
      <c r="Q19" s="3"/>
      <c r="S19" s="1"/>
      <c r="T19" s="2"/>
      <c r="U19" s="3"/>
      <c r="V19" s="3"/>
      <c r="W19" s="3"/>
    </row>
    <row r="20" spans="1:23" x14ac:dyDescent="0.25">
      <c r="A20" s="3"/>
      <c r="B20" s="3"/>
      <c r="C20" s="3"/>
      <c r="D20" s="3" t="s">
        <v>249</v>
      </c>
      <c r="E20" s="3">
        <f>B22</f>
        <v>24700</v>
      </c>
      <c r="G20" s="3"/>
      <c r="H20" s="3"/>
      <c r="I20" s="3"/>
      <c r="J20" s="3" t="s">
        <v>249</v>
      </c>
      <c r="K20" s="3">
        <f>H22</f>
        <v>24700</v>
      </c>
      <c r="M20" s="3"/>
      <c r="N20" s="3"/>
      <c r="O20" s="3"/>
      <c r="P20" s="3" t="s">
        <v>249</v>
      </c>
      <c r="Q20" s="3">
        <f>N22</f>
        <v>24700</v>
      </c>
      <c r="S20" s="3"/>
      <c r="T20" s="3"/>
      <c r="U20" s="3"/>
      <c r="V20" s="3" t="s">
        <v>249</v>
      </c>
      <c r="W20" s="3">
        <f>T22</f>
        <v>24700</v>
      </c>
    </row>
    <row r="21" spans="1:23" x14ac:dyDescent="0.25">
      <c r="A21" s="3"/>
      <c r="B21" s="3"/>
      <c r="C21" s="3"/>
      <c r="D21" s="3" t="s">
        <v>250</v>
      </c>
      <c r="E21" s="3">
        <v>37738.400000000001</v>
      </c>
      <c r="G21" s="3"/>
      <c r="H21" s="3"/>
      <c r="I21" s="3"/>
      <c r="J21" s="3" t="s">
        <v>250</v>
      </c>
      <c r="K21" s="3">
        <v>37738.400000000001</v>
      </c>
      <c r="M21" s="3"/>
      <c r="N21" s="3"/>
      <c r="O21" s="3"/>
      <c r="P21" s="3" t="s">
        <v>250</v>
      </c>
      <c r="Q21" s="3">
        <v>37738.400000000001</v>
      </c>
      <c r="S21" s="3"/>
      <c r="T21" s="3"/>
      <c r="U21" s="3"/>
      <c r="V21" s="3" t="s">
        <v>250</v>
      </c>
      <c r="W21" s="3">
        <v>37738.400000000001</v>
      </c>
    </row>
    <row r="22" spans="1:23" x14ac:dyDescent="0.25">
      <c r="A22" s="3" t="s">
        <v>249</v>
      </c>
      <c r="B22" s="3">
        <f>12350*2</f>
        <v>24700</v>
      </c>
      <c r="C22" s="3"/>
      <c r="D22" s="3" t="s">
        <v>251</v>
      </c>
      <c r="E22" s="3">
        <f>E20+E21</f>
        <v>62438.400000000001</v>
      </c>
      <c r="G22" s="3" t="s">
        <v>249</v>
      </c>
      <c r="H22" s="3">
        <f>12350*2</f>
        <v>24700</v>
      </c>
      <c r="I22" s="3"/>
      <c r="J22" s="3" t="s">
        <v>251</v>
      </c>
      <c r="K22" s="3">
        <f>K20+K21</f>
        <v>62438.400000000001</v>
      </c>
      <c r="M22" s="3" t="s">
        <v>249</v>
      </c>
      <c r="N22" s="3">
        <f>12350*2</f>
        <v>24700</v>
      </c>
      <c r="O22" s="3"/>
      <c r="P22" s="3" t="s">
        <v>251</v>
      </c>
      <c r="Q22" s="3">
        <f>Q20+Q21</f>
        <v>62438.400000000001</v>
      </c>
      <c r="S22" s="3" t="s">
        <v>249</v>
      </c>
      <c r="T22" s="3">
        <f>12350*2</f>
        <v>24700</v>
      </c>
      <c r="U22" s="3"/>
      <c r="V22" s="3" t="s">
        <v>251</v>
      </c>
      <c r="W22" s="3">
        <f>W20+W21</f>
        <v>62438.400000000001</v>
      </c>
    </row>
    <row r="23" spans="1:23" x14ac:dyDescent="0.25">
      <c r="A23" s="3" t="s">
        <v>252</v>
      </c>
      <c r="B23" s="3">
        <v>13381.48</v>
      </c>
      <c r="C23" s="3"/>
      <c r="D23" s="3" t="s">
        <v>252</v>
      </c>
      <c r="E23" s="3">
        <v>42537.59</v>
      </c>
      <c r="G23" s="3" t="s">
        <v>252</v>
      </c>
      <c r="H23" s="3">
        <v>13381.48</v>
      </c>
      <c r="I23" s="3"/>
      <c r="J23" s="3" t="s">
        <v>252</v>
      </c>
      <c r="K23" s="3">
        <v>42537.59</v>
      </c>
      <c r="M23" s="3" t="s">
        <v>252</v>
      </c>
      <c r="N23" s="3">
        <v>13381.48</v>
      </c>
      <c r="O23" s="3"/>
      <c r="P23" s="3" t="s">
        <v>252</v>
      </c>
      <c r="Q23" s="3">
        <v>42537.59</v>
      </c>
      <c r="S23" s="3" t="s">
        <v>252</v>
      </c>
      <c r="T23" s="3">
        <v>13381.48</v>
      </c>
      <c r="U23" s="3"/>
      <c r="V23" s="3" t="s">
        <v>252</v>
      </c>
      <c r="W23" s="3">
        <v>42537.59</v>
      </c>
    </row>
    <row r="24" spans="1:23" x14ac:dyDescent="0.25">
      <c r="A24" s="3" t="s">
        <v>253</v>
      </c>
      <c r="B24" s="3">
        <f>B22-B23</f>
        <v>11318.52</v>
      </c>
      <c r="C24" s="3"/>
      <c r="D24" s="3" t="s">
        <v>253</v>
      </c>
      <c r="E24" s="3">
        <f>(E22-E23)</f>
        <v>19900.810000000005</v>
      </c>
      <c r="G24" s="3" t="s">
        <v>253</v>
      </c>
      <c r="H24" s="3">
        <f>H22-H23</f>
        <v>11318.52</v>
      </c>
      <c r="I24" s="3"/>
      <c r="J24" s="3" t="s">
        <v>253</v>
      </c>
      <c r="K24" s="3">
        <f>(K22-K23)</f>
        <v>19900.810000000005</v>
      </c>
      <c r="M24" s="3" t="s">
        <v>253</v>
      </c>
      <c r="N24" s="3">
        <f>N22-N23</f>
        <v>11318.52</v>
      </c>
      <c r="O24" s="3"/>
      <c r="P24" s="3" t="s">
        <v>253</v>
      </c>
      <c r="Q24" s="3">
        <f>(Q22-Q23)</f>
        <v>19900.810000000005</v>
      </c>
      <c r="S24" s="3" t="s">
        <v>253</v>
      </c>
      <c r="T24" s="3">
        <f>T22-T23</f>
        <v>11318.52</v>
      </c>
      <c r="U24" s="3"/>
      <c r="V24" s="3" t="s">
        <v>253</v>
      </c>
      <c r="W24" s="3">
        <f>(W22-W23)</f>
        <v>19900.810000000005</v>
      </c>
    </row>
    <row r="25" spans="1:23" x14ac:dyDescent="0.25">
      <c r="A25" s="3" t="s">
        <v>254</v>
      </c>
      <c r="B25" s="5">
        <v>0.21360000000000001</v>
      </c>
      <c r="C25" s="3"/>
      <c r="D25" s="3" t="s">
        <v>254</v>
      </c>
      <c r="E25" s="5">
        <v>0.3</v>
      </c>
      <c r="G25" s="3" t="s">
        <v>254</v>
      </c>
      <c r="H25" s="5">
        <v>0.21360000000000001</v>
      </c>
      <c r="I25" s="3"/>
      <c r="J25" s="3" t="s">
        <v>254</v>
      </c>
      <c r="K25" s="5">
        <v>0.3</v>
      </c>
      <c r="M25" s="3" t="s">
        <v>254</v>
      </c>
      <c r="N25" s="5">
        <v>0.21360000000000001</v>
      </c>
      <c r="O25" s="3"/>
      <c r="P25" s="3" t="s">
        <v>254</v>
      </c>
      <c r="Q25" s="5">
        <v>0.3</v>
      </c>
      <c r="S25" s="3" t="s">
        <v>254</v>
      </c>
      <c r="T25" s="5">
        <v>0.21360000000000001</v>
      </c>
      <c r="U25" s="3"/>
      <c r="V25" s="3" t="s">
        <v>254</v>
      </c>
      <c r="W25" s="5">
        <v>0.3</v>
      </c>
    </row>
    <row r="26" spans="1:23" x14ac:dyDescent="0.25">
      <c r="A26" s="3" t="s">
        <v>255</v>
      </c>
      <c r="B26" s="3">
        <f>B24*B25</f>
        <v>2417.6358720000003</v>
      </c>
      <c r="C26" s="3"/>
      <c r="D26" s="3" t="s">
        <v>255</v>
      </c>
      <c r="E26" s="3">
        <f>(E24*E25)</f>
        <v>5970.2430000000013</v>
      </c>
      <c r="G26" s="3" t="s">
        <v>255</v>
      </c>
      <c r="H26" s="3">
        <f>H24*H25</f>
        <v>2417.6358720000003</v>
      </c>
      <c r="I26" s="3"/>
      <c r="J26" s="3" t="s">
        <v>255</v>
      </c>
      <c r="K26" s="3">
        <f>(K24*K25)</f>
        <v>5970.2430000000013</v>
      </c>
      <c r="M26" s="3" t="s">
        <v>255</v>
      </c>
      <c r="N26" s="3">
        <f>N24*N25</f>
        <v>2417.6358720000003</v>
      </c>
      <c r="O26" s="3"/>
      <c r="P26" s="3" t="s">
        <v>255</v>
      </c>
      <c r="Q26" s="3">
        <f>(Q24*Q25)</f>
        <v>5970.2430000000013</v>
      </c>
      <c r="S26" s="3" t="s">
        <v>255</v>
      </c>
      <c r="T26" s="3">
        <f>T24*T25</f>
        <v>2417.6358720000003</v>
      </c>
      <c r="U26" s="3"/>
      <c r="V26" s="3" t="s">
        <v>255</v>
      </c>
      <c r="W26" s="3">
        <f>(W24*W25)</f>
        <v>5970.2430000000013</v>
      </c>
    </row>
    <row r="27" spans="1:23" x14ac:dyDescent="0.25">
      <c r="A27" s="3" t="s">
        <v>256</v>
      </c>
      <c r="B27" s="3">
        <v>1417.12</v>
      </c>
      <c r="C27" s="3"/>
      <c r="D27" s="3" t="s">
        <v>256</v>
      </c>
      <c r="E27" s="3">
        <v>7980.73</v>
      </c>
      <c r="G27" s="3" t="s">
        <v>256</v>
      </c>
      <c r="H27" s="3">
        <v>1417.12</v>
      </c>
      <c r="I27" s="3"/>
      <c r="J27" s="3" t="s">
        <v>256</v>
      </c>
      <c r="K27" s="3">
        <v>7980.73</v>
      </c>
      <c r="M27" s="3" t="s">
        <v>256</v>
      </c>
      <c r="N27" s="3">
        <v>1417.12</v>
      </c>
      <c r="O27" s="3"/>
      <c r="P27" s="3" t="s">
        <v>256</v>
      </c>
      <c r="Q27" s="3">
        <v>7980.73</v>
      </c>
      <c r="S27" s="3" t="s">
        <v>256</v>
      </c>
      <c r="T27" s="3">
        <v>1417.12</v>
      </c>
      <c r="U27" s="3"/>
      <c r="V27" s="3" t="s">
        <v>256</v>
      </c>
      <c r="W27" s="3">
        <v>7980.73</v>
      </c>
    </row>
    <row r="28" spans="1:23" x14ac:dyDescent="0.25">
      <c r="A28" s="3" t="s">
        <v>257</v>
      </c>
      <c r="B28" s="3">
        <f>B26+B27</f>
        <v>3834.7558720000002</v>
      </c>
      <c r="C28" s="3"/>
      <c r="D28" s="3" t="s">
        <v>257</v>
      </c>
      <c r="E28" s="3">
        <f>(E26+E27)</f>
        <v>13950.973000000002</v>
      </c>
      <c r="G28" s="3" t="s">
        <v>257</v>
      </c>
      <c r="H28" s="3">
        <f>H26+H27</f>
        <v>3834.7558720000002</v>
      </c>
      <c r="I28" s="3"/>
      <c r="J28" s="3" t="s">
        <v>257</v>
      </c>
      <c r="K28" s="3">
        <f>(K26+K27)</f>
        <v>13950.973000000002</v>
      </c>
      <c r="M28" s="3" t="s">
        <v>257</v>
      </c>
      <c r="N28" s="3">
        <f>N26+N27</f>
        <v>3834.7558720000002</v>
      </c>
      <c r="O28" s="3"/>
      <c r="P28" s="3" t="s">
        <v>257</v>
      </c>
      <c r="Q28" s="3">
        <f>(Q26+Q27)</f>
        <v>13950.973000000002</v>
      </c>
      <c r="S28" s="3" t="s">
        <v>257</v>
      </c>
      <c r="T28" s="3">
        <f>T26+T27</f>
        <v>3834.7558720000002</v>
      </c>
      <c r="U28" s="3"/>
      <c r="V28" s="3" t="s">
        <v>257</v>
      </c>
      <c r="W28" s="3">
        <f>(W26+W27)</f>
        <v>13950.973000000002</v>
      </c>
    </row>
    <row r="29" spans="1:23" x14ac:dyDescent="0.25">
      <c r="A29" s="3" t="s">
        <v>258</v>
      </c>
      <c r="B29" s="3"/>
      <c r="C29" s="3"/>
      <c r="D29" s="3" t="s">
        <v>258</v>
      </c>
      <c r="E29" s="3"/>
      <c r="G29" s="3" t="s">
        <v>258</v>
      </c>
      <c r="H29" s="3"/>
      <c r="I29" s="3"/>
      <c r="J29" s="3" t="s">
        <v>258</v>
      </c>
      <c r="K29" s="3"/>
      <c r="M29" s="3" t="s">
        <v>258</v>
      </c>
      <c r="N29" s="3"/>
      <c r="O29" s="3"/>
      <c r="P29" s="3" t="s">
        <v>258</v>
      </c>
      <c r="Q29" s="3"/>
      <c r="S29" s="3" t="s">
        <v>258</v>
      </c>
      <c r="T29" s="3"/>
      <c r="U29" s="3"/>
      <c r="V29" s="3" t="s">
        <v>258</v>
      </c>
      <c r="W29" s="3"/>
    </row>
    <row r="30" spans="1:23" x14ac:dyDescent="0.25">
      <c r="A30" s="3" t="s">
        <v>259</v>
      </c>
      <c r="B30" s="3">
        <f>(B28-B29)</f>
        <v>3834.7558720000002</v>
      </c>
      <c r="C30" s="3"/>
      <c r="D30" s="3" t="s">
        <v>259</v>
      </c>
      <c r="E30" s="3">
        <f>(E28-E29)</f>
        <v>13950.973000000002</v>
      </c>
      <c r="G30" s="3" t="s">
        <v>259</v>
      </c>
      <c r="H30" s="3">
        <f>(H28-H29)</f>
        <v>3834.7558720000002</v>
      </c>
      <c r="I30" s="3"/>
      <c r="J30" s="3" t="s">
        <v>259</v>
      </c>
      <c r="K30" s="3">
        <f>(K28-K29)</f>
        <v>13950.973000000002</v>
      </c>
      <c r="M30" s="3" t="s">
        <v>259</v>
      </c>
      <c r="N30" s="3">
        <f>(N28-N29)</f>
        <v>3834.7558720000002</v>
      </c>
      <c r="O30" s="3"/>
      <c r="P30" s="3" t="s">
        <v>259</v>
      </c>
      <c r="Q30" s="3">
        <f>(Q28-Q29)</f>
        <v>13950.973000000002</v>
      </c>
      <c r="S30" s="3" t="s">
        <v>259</v>
      </c>
      <c r="T30" s="3">
        <f>(T28-T29)</f>
        <v>3834.7558720000002</v>
      </c>
      <c r="U30" s="3"/>
      <c r="V30" s="3" t="s">
        <v>259</v>
      </c>
      <c r="W30" s="3">
        <f>(W28-W29)</f>
        <v>13950.973000000002</v>
      </c>
    </row>
    <row r="31" spans="1:23" x14ac:dyDescent="0.25">
      <c r="A31" s="3"/>
      <c r="B31" s="3"/>
      <c r="C31" s="3"/>
      <c r="D31" s="3"/>
      <c r="E31" s="3"/>
      <c r="G31" s="3"/>
      <c r="H31" s="3"/>
      <c r="I31" s="3"/>
      <c r="J31" s="3"/>
      <c r="K31" s="3"/>
      <c r="M31" s="3"/>
      <c r="N31" s="3"/>
      <c r="O31" s="3"/>
      <c r="P31" s="3"/>
      <c r="Q31" s="3"/>
      <c r="S31" s="3"/>
      <c r="T31" s="3"/>
      <c r="U31" s="3"/>
      <c r="V31" s="3"/>
      <c r="W31" s="3"/>
    </row>
    <row r="32" spans="1:23" x14ac:dyDescent="0.25">
      <c r="A32" s="3"/>
      <c r="B32" s="3"/>
      <c r="C32" s="3"/>
      <c r="D32" s="3" t="s">
        <v>260</v>
      </c>
      <c r="E32" s="3">
        <f>E30-B30</f>
        <v>10116.217128000002</v>
      </c>
      <c r="G32" s="3"/>
      <c r="H32" s="3"/>
      <c r="I32" s="3"/>
      <c r="J32" s="3" t="s">
        <v>260</v>
      </c>
      <c r="K32" s="3">
        <f>K30-H30</f>
        <v>10116.217128000002</v>
      </c>
      <c r="M32" s="3"/>
      <c r="N32" s="3"/>
      <c r="O32" s="3"/>
      <c r="P32" s="3" t="s">
        <v>260</v>
      </c>
      <c r="Q32" s="3">
        <f>Q30-N30</f>
        <v>10116.217128000002</v>
      </c>
      <c r="S32" s="3"/>
      <c r="T32" s="3"/>
      <c r="U32" s="3"/>
      <c r="V32" s="3" t="s">
        <v>260</v>
      </c>
      <c r="W32" s="3">
        <f>W30-T30</f>
        <v>10116.217128000002</v>
      </c>
    </row>
    <row r="35" spans="1:17" ht="18.75" x14ac:dyDescent="0.3">
      <c r="A35" s="95" t="s">
        <v>265</v>
      </c>
      <c r="B35" s="96"/>
      <c r="C35" s="3"/>
      <c r="D35" s="3"/>
      <c r="E35" s="3"/>
      <c r="G35" s="95" t="s">
        <v>266</v>
      </c>
      <c r="H35" s="96"/>
      <c r="I35" s="3"/>
      <c r="J35" s="3"/>
      <c r="K35" s="3"/>
      <c r="M35" s="6"/>
      <c r="N35" s="6"/>
      <c r="O35" s="3"/>
      <c r="P35" s="3"/>
      <c r="Q35" s="3"/>
    </row>
    <row r="36" spans="1:17" x14ac:dyDescent="0.25">
      <c r="A36" s="3"/>
      <c r="B36" s="3"/>
      <c r="C36" s="3"/>
      <c r="D36" s="3" t="s">
        <v>249</v>
      </c>
      <c r="E36" s="3">
        <f>B38</f>
        <v>24700</v>
      </c>
      <c r="G36" s="3"/>
      <c r="H36" s="3"/>
      <c r="I36" s="3"/>
      <c r="J36" s="3" t="s">
        <v>249</v>
      </c>
      <c r="K36" s="3">
        <f>H38</f>
        <v>24700</v>
      </c>
      <c r="M36" s="3"/>
      <c r="N36" s="3"/>
      <c r="O36" s="3"/>
      <c r="P36" s="3"/>
      <c r="Q36" s="3"/>
    </row>
    <row r="37" spans="1:17" x14ac:dyDescent="0.25">
      <c r="A37" s="3"/>
      <c r="B37" s="3"/>
      <c r="C37" s="3"/>
      <c r="D37" s="3" t="s">
        <v>250</v>
      </c>
      <c r="E37" s="3">
        <v>37738.400000000001</v>
      </c>
      <c r="G37" s="3"/>
      <c r="H37" s="3"/>
      <c r="I37" s="3"/>
      <c r="J37" s="3" t="s">
        <v>250</v>
      </c>
      <c r="K37" s="3">
        <v>37738.400000000001</v>
      </c>
      <c r="M37" s="3"/>
      <c r="N37" s="3"/>
      <c r="O37" s="3"/>
      <c r="P37" s="3"/>
      <c r="Q37" s="4"/>
    </row>
    <row r="38" spans="1:17" x14ac:dyDescent="0.25">
      <c r="A38" s="3" t="s">
        <v>249</v>
      </c>
      <c r="B38" s="3">
        <f>12350*2</f>
        <v>24700</v>
      </c>
      <c r="C38" s="3"/>
      <c r="D38" s="3" t="s">
        <v>251</v>
      </c>
      <c r="E38" s="3">
        <f>E36+E37</f>
        <v>62438.400000000001</v>
      </c>
      <c r="G38" s="3" t="s">
        <v>249</v>
      </c>
      <c r="H38" s="3">
        <f>12350*2</f>
        <v>24700</v>
      </c>
      <c r="I38" s="3"/>
      <c r="J38" s="3" t="s">
        <v>251</v>
      </c>
      <c r="K38" s="3">
        <f>K36+K37</f>
        <v>62438.400000000001</v>
      </c>
      <c r="M38" s="3"/>
      <c r="N38" s="3"/>
      <c r="O38" s="3"/>
      <c r="P38" s="3"/>
      <c r="Q38" s="3"/>
    </row>
    <row r="39" spans="1:17" x14ac:dyDescent="0.25">
      <c r="A39" s="3" t="s">
        <v>252</v>
      </c>
      <c r="B39" s="3">
        <v>13381.48</v>
      </c>
      <c r="C39" s="3"/>
      <c r="D39" s="3" t="s">
        <v>252</v>
      </c>
      <c r="E39" s="3">
        <v>42537.59</v>
      </c>
      <c r="G39" s="3" t="s">
        <v>252</v>
      </c>
      <c r="H39" s="3">
        <v>13381.48</v>
      </c>
      <c r="I39" s="3"/>
      <c r="J39" s="3" t="s">
        <v>252</v>
      </c>
      <c r="K39" s="3">
        <v>42537.59</v>
      </c>
      <c r="M39" s="3"/>
      <c r="N39" s="3"/>
      <c r="O39" s="3"/>
      <c r="P39" s="3"/>
      <c r="Q39" s="3"/>
    </row>
    <row r="40" spans="1:17" x14ac:dyDescent="0.25">
      <c r="A40" s="3" t="s">
        <v>253</v>
      </c>
      <c r="B40" s="3">
        <f>B38-B39</f>
        <v>11318.52</v>
      </c>
      <c r="C40" s="3"/>
      <c r="D40" s="3" t="s">
        <v>253</v>
      </c>
      <c r="E40" s="3">
        <f>(E38-E39)</f>
        <v>19900.810000000005</v>
      </c>
      <c r="G40" s="3" t="s">
        <v>253</v>
      </c>
      <c r="H40" s="3">
        <f>H38-H39</f>
        <v>11318.52</v>
      </c>
      <c r="I40" s="3"/>
      <c r="J40" s="3" t="s">
        <v>253</v>
      </c>
      <c r="K40" s="3">
        <f>(K38-K39)</f>
        <v>19900.810000000005</v>
      </c>
      <c r="M40" s="3"/>
      <c r="N40" s="3"/>
      <c r="O40" s="3"/>
      <c r="P40" s="3"/>
      <c r="Q40" s="3"/>
    </row>
    <row r="41" spans="1:17" x14ac:dyDescent="0.25">
      <c r="A41" s="3" t="s">
        <v>254</v>
      </c>
      <c r="B41" s="5">
        <v>0.21360000000000001</v>
      </c>
      <c r="C41" s="3"/>
      <c r="D41" s="3" t="s">
        <v>254</v>
      </c>
      <c r="E41" s="5">
        <v>0.3</v>
      </c>
      <c r="G41" s="3" t="s">
        <v>254</v>
      </c>
      <c r="H41" s="5">
        <v>0.21360000000000001</v>
      </c>
      <c r="I41" s="3"/>
      <c r="J41" s="3" t="s">
        <v>254</v>
      </c>
      <c r="K41" s="5">
        <v>0.3</v>
      </c>
      <c r="M41" s="3"/>
      <c r="N41" s="5"/>
      <c r="O41" s="3"/>
      <c r="P41" s="3"/>
      <c r="Q41" s="5"/>
    </row>
    <row r="42" spans="1:17" x14ac:dyDescent="0.25">
      <c r="A42" s="3" t="s">
        <v>255</v>
      </c>
      <c r="B42" s="3">
        <f>B40*B41</f>
        <v>2417.6358720000003</v>
      </c>
      <c r="C42" s="3"/>
      <c r="D42" s="3" t="s">
        <v>255</v>
      </c>
      <c r="E42" s="3">
        <f>(E40*E41)</f>
        <v>5970.2430000000013</v>
      </c>
      <c r="G42" s="3" t="s">
        <v>255</v>
      </c>
      <c r="H42" s="3">
        <f>H40*H41</f>
        <v>2417.6358720000003</v>
      </c>
      <c r="I42" s="3"/>
      <c r="J42" s="3" t="s">
        <v>255</v>
      </c>
      <c r="K42" s="3">
        <f>(K40*K41)</f>
        <v>5970.2430000000013</v>
      </c>
      <c r="M42" s="3"/>
      <c r="N42" s="3"/>
      <c r="O42" s="3"/>
      <c r="P42" s="3"/>
      <c r="Q42" s="3"/>
    </row>
    <row r="43" spans="1:17" x14ac:dyDescent="0.25">
      <c r="A43" s="3" t="s">
        <v>256</v>
      </c>
      <c r="B43" s="3">
        <v>1417.12</v>
      </c>
      <c r="C43" s="3"/>
      <c r="D43" s="3" t="s">
        <v>256</v>
      </c>
      <c r="E43" s="3">
        <v>7980.73</v>
      </c>
      <c r="G43" s="3" t="s">
        <v>256</v>
      </c>
      <c r="H43" s="3">
        <v>1417.12</v>
      </c>
      <c r="I43" s="3"/>
      <c r="J43" s="3" t="s">
        <v>256</v>
      </c>
      <c r="K43" s="3">
        <v>7980.73</v>
      </c>
      <c r="M43" s="3"/>
      <c r="N43" s="3"/>
      <c r="O43" s="3"/>
      <c r="P43" s="3"/>
      <c r="Q43" s="3"/>
    </row>
    <row r="44" spans="1:17" x14ac:dyDescent="0.25">
      <c r="A44" s="3" t="s">
        <v>257</v>
      </c>
      <c r="B44" s="3">
        <f>B42+B43</f>
        <v>3834.7558720000002</v>
      </c>
      <c r="C44" s="3"/>
      <c r="D44" s="3" t="s">
        <v>257</v>
      </c>
      <c r="E44" s="3">
        <f>(E42+E43)</f>
        <v>13950.973000000002</v>
      </c>
      <c r="G44" s="3" t="s">
        <v>257</v>
      </c>
      <c r="H44" s="3">
        <f>H42+H43</f>
        <v>3834.7558720000002</v>
      </c>
      <c r="I44" s="3"/>
      <c r="J44" s="3" t="s">
        <v>257</v>
      </c>
      <c r="K44" s="3">
        <f>(K42+K43)</f>
        <v>13950.973000000002</v>
      </c>
      <c r="M44" s="3"/>
      <c r="N44" s="3"/>
      <c r="O44" s="3"/>
      <c r="P44" s="3"/>
      <c r="Q44" s="3"/>
    </row>
    <row r="45" spans="1:17" x14ac:dyDescent="0.25">
      <c r="A45" s="3" t="s">
        <v>258</v>
      </c>
      <c r="B45" s="3"/>
      <c r="C45" s="3"/>
      <c r="D45" s="3" t="s">
        <v>258</v>
      </c>
      <c r="E45" s="3"/>
      <c r="G45" s="3" t="s">
        <v>258</v>
      </c>
      <c r="H45" s="3"/>
      <c r="I45" s="3"/>
      <c r="J45" s="3" t="s">
        <v>258</v>
      </c>
      <c r="K45" s="3"/>
      <c r="M45" s="3"/>
      <c r="N45" s="3"/>
      <c r="O45" s="3"/>
      <c r="P45" s="3"/>
      <c r="Q45" s="3"/>
    </row>
    <row r="46" spans="1:17" x14ac:dyDescent="0.25">
      <c r="A46" s="3" t="s">
        <v>259</v>
      </c>
      <c r="B46" s="3">
        <f>(B44-B45)</f>
        <v>3834.7558720000002</v>
      </c>
      <c r="C46" s="3"/>
      <c r="D46" s="3" t="s">
        <v>259</v>
      </c>
      <c r="E46" s="3">
        <f>(E44-E45)</f>
        <v>13950.973000000002</v>
      </c>
      <c r="G46" s="3" t="s">
        <v>259</v>
      </c>
      <c r="H46" s="3">
        <f>(H44-H45)</f>
        <v>3834.7558720000002</v>
      </c>
      <c r="I46" s="3"/>
      <c r="J46" s="3" t="s">
        <v>259</v>
      </c>
      <c r="K46" s="3">
        <f>(K44-K45)</f>
        <v>13950.973000000002</v>
      </c>
      <c r="M46" s="3"/>
      <c r="N46" s="3"/>
      <c r="O46" s="3"/>
      <c r="P46" s="3"/>
      <c r="Q46" s="3"/>
    </row>
    <row r="47" spans="1:17" x14ac:dyDescent="0.25">
      <c r="A47" s="3"/>
      <c r="B47" s="3"/>
      <c r="C47" s="3"/>
      <c r="D47" s="3"/>
      <c r="E47" s="3"/>
      <c r="G47" s="3"/>
      <c r="H47" s="3"/>
      <c r="I47" s="3"/>
      <c r="J47" s="3"/>
      <c r="K47" s="3"/>
      <c r="M47" s="3"/>
      <c r="N47" s="3"/>
      <c r="O47" s="3"/>
      <c r="P47" s="3"/>
      <c r="Q47" s="3"/>
    </row>
    <row r="48" spans="1:17" x14ac:dyDescent="0.25">
      <c r="A48" s="3"/>
      <c r="B48" s="3"/>
      <c r="C48" s="3"/>
      <c r="D48" s="3" t="s">
        <v>260</v>
      </c>
      <c r="E48" s="3">
        <f>E46-B46</f>
        <v>10116.217128000002</v>
      </c>
      <c r="G48" s="3"/>
      <c r="H48" s="3"/>
      <c r="I48" s="3"/>
      <c r="J48" s="3" t="s">
        <v>260</v>
      </c>
      <c r="K48" s="3">
        <f>K46-H46</f>
        <v>10116.217128000002</v>
      </c>
      <c r="M48" s="3"/>
      <c r="N48" s="3"/>
      <c r="O48" s="3"/>
      <c r="P48" s="3"/>
      <c r="Q48" s="3"/>
    </row>
  </sheetData>
  <mergeCells count="11">
    <mergeCell ref="A35:B35"/>
    <mergeCell ref="G35:H35"/>
    <mergeCell ref="A1:B1"/>
    <mergeCell ref="D1:E1"/>
    <mergeCell ref="G1:H1"/>
    <mergeCell ref="M1:N1"/>
    <mergeCell ref="S1:T1"/>
    <mergeCell ref="A18:B18"/>
    <mergeCell ref="G18:H18"/>
    <mergeCell ref="M18:N18"/>
    <mergeCell ref="S18:T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48868-1577-499D-9EE9-36EE818365B7}">
  <dimension ref="A1:Q47"/>
  <sheetViews>
    <sheetView topLeftCell="A12" zoomScale="77" zoomScaleNormal="77" workbookViewId="0">
      <selection activeCell="K40" sqref="K40"/>
    </sheetView>
  </sheetViews>
  <sheetFormatPr baseColWidth="10" defaultRowHeight="15" x14ac:dyDescent="0.25"/>
  <cols>
    <col min="1" max="1" width="5.85546875" customWidth="1"/>
    <col min="2" max="2" width="37.42578125" customWidth="1"/>
    <col min="3" max="3" width="31.42578125" customWidth="1"/>
    <col min="4" max="4" width="14.5703125" customWidth="1"/>
    <col min="5" max="5" width="13.28515625" customWidth="1"/>
    <col min="6" max="6" width="12.85546875" customWidth="1"/>
    <col min="8" max="8" width="15.5703125" customWidth="1"/>
    <col min="10" max="10" width="14.28515625" customWidth="1"/>
    <col min="11" max="11" width="13.7109375" customWidth="1"/>
    <col min="12" max="12" width="1.42578125" hidden="1" customWidth="1"/>
    <col min="13" max="13" width="4.5703125" hidden="1" customWidth="1"/>
    <col min="14" max="14" width="16" hidden="1" customWidth="1"/>
    <col min="15" max="15" width="0.140625" hidden="1" customWidth="1"/>
    <col min="16" max="16" width="15.42578125" customWidth="1"/>
    <col min="17" max="17" width="43.42578125" customWidth="1"/>
  </cols>
  <sheetData>
    <row r="1" spans="1:17" ht="50.25" customHeight="1" x14ac:dyDescent="0.25">
      <c r="A1" s="98" t="s">
        <v>78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/>
    </row>
    <row r="2" spans="1:17" ht="24" customHeight="1" x14ac:dyDescent="0.25">
      <c r="A2" s="101" t="s">
        <v>244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3"/>
    </row>
    <row r="3" spans="1:17" ht="33" customHeight="1" x14ac:dyDescent="0.25">
      <c r="A3" s="18" t="s">
        <v>1</v>
      </c>
      <c r="B3" s="28" t="s">
        <v>2</v>
      </c>
      <c r="C3" s="28" t="s">
        <v>3</v>
      </c>
      <c r="D3" s="29" t="s">
        <v>4</v>
      </c>
      <c r="E3" s="29" t="s">
        <v>5</v>
      </c>
      <c r="F3" s="29" t="s">
        <v>6</v>
      </c>
      <c r="G3" s="28" t="s">
        <v>7</v>
      </c>
      <c r="H3" s="29" t="s">
        <v>8</v>
      </c>
      <c r="I3" s="29" t="s">
        <v>9</v>
      </c>
      <c r="J3" s="29" t="s">
        <v>10</v>
      </c>
      <c r="K3" s="29" t="s">
        <v>11</v>
      </c>
      <c r="L3" s="29" t="s">
        <v>12</v>
      </c>
      <c r="M3" s="29" t="s">
        <v>13</v>
      </c>
      <c r="N3" s="28" t="s">
        <v>14</v>
      </c>
      <c r="O3" s="29" t="s">
        <v>15</v>
      </c>
      <c r="P3" s="29" t="s">
        <v>16</v>
      </c>
      <c r="Q3" s="19" t="s">
        <v>17</v>
      </c>
    </row>
    <row r="4" spans="1:17" ht="25.5" customHeight="1" x14ac:dyDescent="0.25">
      <c r="A4" s="31">
        <v>1</v>
      </c>
      <c r="B4" s="13" t="s">
        <v>29</v>
      </c>
      <c r="C4" s="13" t="s">
        <v>54</v>
      </c>
      <c r="D4" s="14">
        <v>26527</v>
      </c>
      <c r="E4" s="14">
        <f>D4*2/30.4</f>
        <v>1745.1973684210527</v>
      </c>
      <c r="F4" s="12">
        <f>31+28+31+30+31+30+31+31+30+31+30+31</f>
        <v>365</v>
      </c>
      <c r="G4" s="12">
        <f>F4*50/365</f>
        <v>50</v>
      </c>
      <c r="H4" s="15">
        <f>E4*G4</f>
        <v>87259.868421052641</v>
      </c>
      <c r="I4" s="21">
        <f>F4*30/365*96.22</f>
        <v>2886.6</v>
      </c>
      <c r="J4" s="15">
        <f>H4-I4</f>
        <v>84373.268421052635</v>
      </c>
      <c r="K4" s="14">
        <v>27020.0070631579</v>
      </c>
      <c r="L4" s="15">
        <f>H4+K4</f>
        <v>114279.87548421054</v>
      </c>
      <c r="M4" s="13"/>
      <c r="N4" s="15">
        <f>K4</f>
        <v>27020.0070631579</v>
      </c>
      <c r="O4" s="15">
        <f>N4</f>
        <v>27020.0070631579</v>
      </c>
      <c r="P4" s="15">
        <f>L4-O4</f>
        <v>87259.868421052641</v>
      </c>
      <c r="Q4" s="46"/>
    </row>
    <row r="5" spans="1:17" ht="25.5" customHeight="1" x14ac:dyDescent="0.25">
      <c r="A5" s="31">
        <v>2</v>
      </c>
      <c r="B5" s="13" t="s">
        <v>30</v>
      </c>
      <c r="C5" s="13" t="s">
        <v>55</v>
      </c>
      <c r="D5" s="14">
        <v>8771</v>
      </c>
      <c r="E5" s="14">
        <f t="shared" ref="E5:E18" si="0">D5*2/30.4</f>
        <v>577.03947368421052</v>
      </c>
      <c r="F5" s="12">
        <f t="shared" ref="F5:F17" si="1">31+28+31+30+31+30+31+31+30+31+30+31</f>
        <v>365</v>
      </c>
      <c r="G5" s="12">
        <f t="shared" ref="G5:G18" si="2">F5*50/365</f>
        <v>50</v>
      </c>
      <c r="H5" s="15">
        <f>E5*G5</f>
        <v>28851.973684210527</v>
      </c>
      <c r="I5" s="21">
        <f t="shared" ref="I5:I17" si="3">F5*30/365*96.22</f>
        <v>2886.6</v>
      </c>
      <c r="J5" s="15">
        <f t="shared" ref="J5:J17" si="4">H5-I5</f>
        <v>25965.373684210528</v>
      </c>
      <c r="K5" s="14">
        <v>5965.8580332631591</v>
      </c>
      <c r="L5" s="15">
        <f t="shared" ref="L5:L38" si="5">H5+K5</f>
        <v>34817.831717473688</v>
      </c>
      <c r="M5" s="13"/>
      <c r="N5" s="15">
        <f t="shared" ref="N5:N38" si="6">K5</f>
        <v>5965.8580332631591</v>
      </c>
      <c r="O5" s="15">
        <f t="shared" ref="O5:O38" si="7">N5</f>
        <v>5965.8580332631591</v>
      </c>
      <c r="P5" s="15">
        <f t="shared" ref="P5:P38" si="8">L5-O5</f>
        <v>28851.973684210527</v>
      </c>
      <c r="Q5" s="46"/>
    </row>
    <row r="6" spans="1:17" ht="25.5" customHeight="1" x14ac:dyDescent="0.25">
      <c r="A6" s="31">
        <v>3</v>
      </c>
      <c r="B6" s="13" t="s">
        <v>31</v>
      </c>
      <c r="C6" s="13" t="s">
        <v>56</v>
      </c>
      <c r="D6" s="14">
        <v>8618.77</v>
      </c>
      <c r="E6" s="14">
        <f t="shared" si="0"/>
        <v>567.02434210526326</v>
      </c>
      <c r="F6" s="12">
        <f t="shared" si="1"/>
        <v>365</v>
      </c>
      <c r="G6" s="12">
        <f t="shared" si="2"/>
        <v>50</v>
      </c>
      <c r="H6" s="15">
        <f t="shared" ref="H6:H18" si="9">E6*G6</f>
        <v>28351.217105263164</v>
      </c>
      <c r="I6" s="21">
        <f t="shared" si="3"/>
        <v>2886.6</v>
      </c>
      <c r="J6" s="15">
        <f t="shared" si="4"/>
        <v>25464.617105263165</v>
      </c>
      <c r="K6" s="14">
        <v>5789.3257155789488</v>
      </c>
      <c r="L6" s="15">
        <f t="shared" si="5"/>
        <v>34140.542820842114</v>
      </c>
      <c r="M6" s="13"/>
      <c r="N6" s="15">
        <f t="shared" si="6"/>
        <v>5789.3257155789488</v>
      </c>
      <c r="O6" s="15">
        <f t="shared" si="7"/>
        <v>5789.3257155789488</v>
      </c>
      <c r="P6" s="15">
        <f t="shared" si="8"/>
        <v>28351.217105263167</v>
      </c>
      <c r="Q6" s="46"/>
    </row>
    <row r="7" spans="1:17" ht="25.5" customHeight="1" x14ac:dyDescent="0.25">
      <c r="A7" s="31">
        <v>4</v>
      </c>
      <c r="B7" s="13" t="s">
        <v>33</v>
      </c>
      <c r="C7" s="13" t="s">
        <v>58</v>
      </c>
      <c r="D7" s="14">
        <v>6111.18</v>
      </c>
      <c r="E7" s="14">
        <f t="shared" si="0"/>
        <v>402.05131578947373</v>
      </c>
      <c r="F7" s="12">
        <f t="shared" si="1"/>
        <v>365</v>
      </c>
      <c r="G7" s="12">
        <f t="shared" si="2"/>
        <v>50</v>
      </c>
      <c r="H7" s="15">
        <f t="shared" si="9"/>
        <v>20102.565789473687</v>
      </c>
      <c r="I7" s="21">
        <f t="shared" si="3"/>
        <v>2886.6</v>
      </c>
      <c r="J7" s="15">
        <f t="shared" si="4"/>
        <v>17215.965789473688</v>
      </c>
      <c r="K7" s="14">
        <v>3690.371857684212</v>
      </c>
      <c r="L7" s="15">
        <f t="shared" si="5"/>
        <v>23792.937647157898</v>
      </c>
      <c r="M7" s="13"/>
      <c r="N7" s="15">
        <f t="shared" si="6"/>
        <v>3690.371857684212</v>
      </c>
      <c r="O7" s="15">
        <f t="shared" si="7"/>
        <v>3690.371857684212</v>
      </c>
      <c r="P7" s="15">
        <f t="shared" si="8"/>
        <v>20102.565789473687</v>
      </c>
      <c r="Q7" s="46"/>
    </row>
    <row r="8" spans="1:17" ht="25.5" customHeight="1" x14ac:dyDescent="0.25">
      <c r="A8" s="31">
        <v>5</v>
      </c>
      <c r="B8" s="13" t="s">
        <v>34</v>
      </c>
      <c r="C8" s="13" t="s">
        <v>59</v>
      </c>
      <c r="D8" s="14">
        <v>6111.18</v>
      </c>
      <c r="E8" s="14">
        <f t="shared" si="0"/>
        <v>402.05131578947373</v>
      </c>
      <c r="F8" s="12">
        <f t="shared" si="1"/>
        <v>365</v>
      </c>
      <c r="G8" s="12">
        <f t="shared" si="2"/>
        <v>50</v>
      </c>
      <c r="H8" s="15">
        <f t="shared" si="9"/>
        <v>20102.565789473687</v>
      </c>
      <c r="I8" s="21">
        <f t="shared" si="3"/>
        <v>2886.6</v>
      </c>
      <c r="J8" s="15">
        <f t="shared" si="4"/>
        <v>17215.965789473688</v>
      </c>
      <c r="K8" s="14">
        <v>3690.371857684212</v>
      </c>
      <c r="L8" s="15">
        <f t="shared" si="5"/>
        <v>23792.937647157898</v>
      </c>
      <c r="M8" s="13"/>
      <c r="N8" s="15">
        <f t="shared" si="6"/>
        <v>3690.371857684212</v>
      </c>
      <c r="O8" s="15">
        <f t="shared" si="7"/>
        <v>3690.371857684212</v>
      </c>
      <c r="P8" s="15">
        <f t="shared" si="8"/>
        <v>20102.565789473687</v>
      </c>
      <c r="Q8" s="46"/>
    </row>
    <row r="9" spans="1:17" ht="25.5" customHeight="1" x14ac:dyDescent="0.25">
      <c r="A9" s="31">
        <v>6</v>
      </c>
      <c r="B9" s="13" t="s">
        <v>35</v>
      </c>
      <c r="C9" s="22" t="s">
        <v>60</v>
      </c>
      <c r="D9" s="14">
        <v>6111.18</v>
      </c>
      <c r="E9" s="14">
        <f t="shared" si="0"/>
        <v>402.05131578947373</v>
      </c>
      <c r="F9" s="12">
        <f t="shared" si="1"/>
        <v>365</v>
      </c>
      <c r="G9" s="12">
        <f t="shared" si="2"/>
        <v>50</v>
      </c>
      <c r="H9" s="15">
        <f t="shared" si="9"/>
        <v>20102.565789473687</v>
      </c>
      <c r="I9" s="21">
        <f t="shared" si="3"/>
        <v>2886.6</v>
      </c>
      <c r="J9" s="15">
        <f t="shared" si="4"/>
        <v>17215.965789473688</v>
      </c>
      <c r="K9" s="14">
        <v>3690.371857684212</v>
      </c>
      <c r="L9" s="15">
        <f t="shared" si="5"/>
        <v>23792.937647157898</v>
      </c>
      <c r="M9" s="13"/>
      <c r="N9" s="15">
        <f t="shared" si="6"/>
        <v>3690.371857684212</v>
      </c>
      <c r="O9" s="15">
        <f t="shared" si="7"/>
        <v>3690.371857684212</v>
      </c>
      <c r="P9" s="15">
        <f t="shared" si="8"/>
        <v>20102.565789473687</v>
      </c>
      <c r="Q9" s="46"/>
    </row>
    <row r="10" spans="1:17" ht="25.5" customHeight="1" x14ac:dyDescent="0.25">
      <c r="A10" s="31">
        <v>7</v>
      </c>
      <c r="B10" s="13" t="s">
        <v>294</v>
      </c>
      <c r="C10" s="22" t="s">
        <v>61</v>
      </c>
      <c r="D10" s="14">
        <v>6111.18</v>
      </c>
      <c r="E10" s="14">
        <f t="shared" si="0"/>
        <v>402.05131578947373</v>
      </c>
      <c r="F10" s="12">
        <f t="shared" si="1"/>
        <v>365</v>
      </c>
      <c r="G10" s="12">
        <f t="shared" si="2"/>
        <v>50</v>
      </c>
      <c r="H10" s="15">
        <f t="shared" si="9"/>
        <v>20102.565789473687</v>
      </c>
      <c r="I10" s="21">
        <f t="shared" si="3"/>
        <v>2886.6</v>
      </c>
      <c r="J10" s="15">
        <f t="shared" si="4"/>
        <v>17215.965789473688</v>
      </c>
      <c r="K10" s="14">
        <v>3690.371857684212</v>
      </c>
      <c r="L10" s="15">
        <f t="shared" si="5"/>
        <v>23792.937647157898</v>
      </c>
      <c r="M10" s="13"/>
      <c r="N10" s="15">
        <f t="shared" si="6"/>
        <v>3690.371857684212</v>
      </c>
      <c r="O10" s="15">
        <f t="shared" si="7"/>
        <v>3690.371857684212</v>
      </c>
      <c r="P10" s="15">
        <f t="shared" si="8"/>
        <v>20102.565789473687</v>
      </c>
      <c r="Q10" s="46"/>
    </row>
    <row r="11" spans="1:17" ht="25.5" customHeight="1" x14ac:dyDescent="0.25">
      <c r="A11" s="31">
        <v>8</v>
      </c>
      <c r="B11" s="13" t="s">
        <v>109</v>
      </c>
      <c r="C11" s="13" t="s">
        <v>110</v>
      </c>
      <c r="D11" s="14">
        <v>6111.18</v>
      </c>
      <c r="E11" s="14">
        <f t="shared" si="0"/>
        <v>402.05131578947373</v>
      </c>
      <c r="F11" s="12">
        <f>30+31+31+30+31+30+31</f>
        <v>214</v>
      </c>
      <c r="G11" s="23">
        <f t="shared" si="2"/>
        <v>29.315068493150687</v>
      </c>
      <c r="H11" s="15">
        <f t="shared" si="9"/>
        <v>11786.161860129778</v>
      </c>
      <c r="I11" s="21">
        <f t="shared" si="3"/>
        <v>1692.4175342465753</v>
      </c>
      <c r="J11" s="15">
        <f t="shared" si="4"/>
        <v>10093.744325883203</v>
      </c>
      <c r="K11" s="14">
        <v>2116.150940008652</v>
      </c>
      <c r="L11" s="15">
        <f t="shared" si="5"/>
        <v>13902.31280013843</v>
      </c>
      <c r="M11" s="13"/>
      <c r="N11" s="15">
        <f t="shared" si="6"/>
        <v>2116.150940008652</v>
      </c>
      <c r="O11" s="15">
        <f t="shared" si="7"/>
        <v>2116.150940008652</v>
      </c>
      <c r="P11" s="15">
        <f t="shared" si="8"/>
        <v>11786.161860129778</v>
      </c>
      <c r="Q11" s="46"/>
    </row>
    <row r="12" spans="1:17" ht="25.5" customHeight="1" x14ac:dyDescent="0.25">
      <c r="A12" s="31">
        <v>9</v>
      </c>
      <c r="B12" s="13" t="s">
        <v>36</v>
      </c>
      <c r="C12" s="13" t="s">
        <v>62</v>
      </c>
      <c r="D12" s="14">
        <v>6111.18</v>
      </c>
      <c r="E12" s="14">
        <f t="shared" si="0"/>
        <v>402.05131578947373</v>
      </c>
      <c r="F12" s="12">
        <f t="shared" si="1"/>
        <v>365</v>
      </c>
      <c r="G12" s="12">
        <f t="shared" si="2"/>
        <v>50</v>
      </c>
      <c r="H12" s="15">
        <f t="shared" si="9"/>
        <v>20102.565789473687</v>
      </c>
      <c r="I12" s="21">
        <f t="shared" si="3"/>
        <v>2886.6</v>
      </c>
      <c r="J12" s="15">
        <f t="shared" si="4"/>
        <v>17215.965789473688</v>
      </c>
      <c r="K12" s="14">
        <v>3690.371857684212</v>
      </c>
      <c r="L12" s="15">
        <f t="shared" si="5"/>
        <v>23792.937647157898</v>
      </c>
      <c r="M12" s="13"/>
      <c r="N12" s="15">
        <f t="shared" si="6"/>
        <v>3690.371857684212</v>
      </c>
      <c r="O12" s="15">
        <f t="shared" si="7"/>
        <v>3690.371857684212</v>
      </c>
      <c r="P12" s="15">
        <f t="shared" si="8"/>
        <v>20102.565789473687</v>
      </c>
      <c r="Q12" s="46"/>
    </row>
    <row r="13" spans="1:17" ht="25.5" customHeight="1" x14ac:dyDescent="0.25">
      <c r="A13" s="31">
        <v>10</v>
      </c>
      <c r="B13" s="13" t="s">
        <v>37</v>
      </c>
      <c r="C13" s="13" t="s">
        <v>63</v>
      </c>
      <c r="D13" s="14">
        <v>6111.18</v>
      </c>
      <c r="E13" s="14">
        <f t="shared" si="0"/>
        <v>402.05131578947373</v>
      </c>
      <c r="F13" s="12">
        <f t="shared" si="1"/>
        <v>365</v>
      </c>
      <c r="G13" s="12">
        <f t="shared" si="2"/>
        <v>50</v>
      </c>
      <c r="H13" s="15">
        <f t="shared" si="9"/>
        <v>20102.565789473687</v>
      </c>
      <c r="I13" s="21">
        <f t="shared" si="3"/>
        <v>2886.6</v>
      </c>
      <c r="J13" s="15">
        <f t="shared" si="4"/>
        <v>17215.965789473688</v>
      </c>
      <c r="K13" s="14">
        <v>3690.371857684212</v>
      </c>
      <c r="L13" s="15">
        <f t="shared" si="5"/>
        <v>23792.937647157898</v>
      </c>
      <c r="M13" s="13"/>
      <c r="N13" s="15">
        <f t="shared" si="6"/>
        <v>3690.371857684212</v>
      </c>
      <c r="O13" s="15">
        <f t="shared" si="7"/>
        <v>3690.371857684212</v>
      </c>
      <c r="P13" s="15">
        <f t="shared" si="8"/>
        <v>20102.565789473687</v>
      </c>
      <c r="Q13" s="46"/>
    </row>
    <row r="14" spans="1:17" ht="25.5" customHeight="1" x14ac:dyDescent="0.25">
      <c r="A14" s="31">
        <v>11</v>
      </c>
      <c r="B14" s="13" t="s">
        <v>38</v>
      </c>
      <c r="C14" s="13" t="s">
        <v>111</v>
      </c>
      <c r="D14" s="14">
        <v>6111.18</v>
      </c>
      <c r="E14" s="14">
        <f t="shared" si="0"/>
        <v>402.05131578947373</v>
      </c>
      <c r="F14" s="12">
        <f t="shared" si="1"/>
        <v>365</v>
      </c>
      <c r="G14" s="12">
        <f t="shared" si="2"/>
        <v>50</v>
      </c>
      <c r="H14" s="15">
        <f t="shared" si="9"/>
        <v>20102.565789473687</v>
      </c>
      <c r="I14" s="21">
        <f t="shared" si="3"/>
        <v>2886.6</v>
      </c>
      <c r="J14" s="15">
        <f t="shared" si="4"/>
        <v>17215.965789473688</v>
      </c>
      <c r="K14" s="14">
        <v>3690.371857684212</v>
      </c>
      <c r="L14" s="15">
        <f t="shared" si="5"/>
        <v>23792.937647157898</v>
      </c>
      <c r="M14" s="13"/>
      <c r="N14" s="15">
        <f t="shared" si="6"/>
        <v>3690.371857684212</v>
      </c>
      <c r="O14" s="15">
        <f t="shared" si="7"/>
        <v>3690.371857684212</v>
      </c>
      <c r="P14" s="15">
        <f t="shared" si="8"/>
        <v>20102.565789473687</v>
      </c>
      <c r="Q14" s="46"/>
    </row>
    <row r="15" spans="1:17" ht="25.5" customHeight="1" x14ac:dyDescent="0.25">
      <c r="A15" s="31">
        <v>12</v>
      </c>
      <c r="B15" s="13" t="s">
        <v>39</v>
      </c>
      <c r="C15" s="13" t="s">
        <v>64</v>
      </c>
      <c r="D15" s="14">
        <v>3821.65</v>
      </c>
      <c r="E15" s="14">
        <f t="shared" si="0"/>
        <v>251.42434210526318</v>
      </c>
      <c r="F15" s="12">
        <f t="shared" si="1"/>
        <v>365</v>
      </c>
      <c r="G15" s="12">
        <f t="shared" si="2"/>
        <v>50</v>
      </c>
      <c r="H15" s="15">
        <f t="shared" si="9"/>
        <v>12571.217105263158</v>
      </c>
      <c r="I15" s="21">
        <f t="shared" si="3"/>
        <v>2886.6</v>
      </c>
      <c r="J15" s="15">
        <f t="shared" si="4"/>
        <v>9684.617105263158</v>
      </c>
      <c r="K15" s="14">
        <v>1702.4651096842103</v>
      </c>
      <c r="L15" s="15">
        <f t="shared" si="5"/>
        <v>14273.682214947368</v>
      </c>
      <c r="M15" s="13"/>
      <c r="N15" s="15">
        <f t="shared" si="6"/>
        <v>1702.4651096842103</v>
      </c>
      <c r="O15" s="15">
        <f t="shared" si="7"/>
        <v>1702.4651096842103</v>
      </c>
      <c r="P15" s="15">
        <f t="shared" si="8"/>
        <v>12571.217105263158</v>
      </c>
      <c r="Q15" s="46"/>
    </row>
    <row r="16" spans="1:17" ht="25.5" customHeight="1" x14ac:dyDescent="0.25">
      <c r="A16" s="31">
        <v>13</v>
      </c>
      <c r="B16" s="13" t="s">
        <v>40</v>
      </c>
      <c r="C16" s="13" t="s">
        <v>65</v>
      </c>
      <c r="D16" s="14">
        <v>5436.85</v>
      </c>
      <c r="E16" s="14">
        <f t="shared" si="0"/>
        <v>357.68750000000006</v>
      </c>
      <c r="F16" s="12">
        <f t="shared" si="1"/>
        <v>365</v>
      </c>
      <c r="G16" s="12">
        <f t="shared" si="2"/>
        <v>50</v>
      </c>
      <c r="H16" s="15">
        <f t="shared" si="9"/>
        <v>17884.375000000004</v>
      </c>
      <c r="I16" s="21">
        <f t="shared" si="3"/>
        <v>2886.6</v>
      </c>
      <c r="J16" s="15">
        <f t="shared" si="4"/>
        <v>14997.775000000003</v>
      </c>
      <c r="K16" s="14">
        <v>3111.4381320000011</v>
      </c>
      <c r="L16" s="15">
        <f t="shared" si="5"/>
        <v>20995.813132000003</v>
      </c>
      <c r="M16" s="13"/>
      <c r="N16" s="15">
        <f t="shared" si="6"/>
        <v>3111.4381320000011</v>
      </c>
      <c r="O16" s="15">
        <f t="shared" si="7"/>
        <v>3111.4381320000011</v>
      </c>
      <c r="P16" s="15">
        <f t="shared" si="8"/>
        <v>17884.375</v>
      </c>
      <c r="Q16" s="46"/>
    </row>
    <row r="17" spans="1:17" ht="25.5" customHeight="1" x14ac:dyDescent="0.25">
      <c r="A17" s="31">
        <v>14</v>
      </c>
      <c r="B17" s="13" t="s">
        <v>41</v>
      </c>
      <c r="C17" s="13" t="s">
        <v>65</v>
      </c>
      <c r="D17" s="14">
        <v>4559.9799999999996</v>
      </c>
      <c r="E17" s="14">
        <f t="shared" si="0"/>
        <v>299.99868421052628</v>
      </c>
      <c r="F17" s="12">
        <f t="shared" si="1"/>
        <v>365</v>
      </c>
      <c r="G17" s="12">
        <f t="shared" si="2"/>
        <v>50</v>
      </c>
      <c r="H17" s="15">
        <f t="shared" si="9"/>
        <v>14999.934210526313</v>
      </c>
      <c r="I17" s="21">
        <f t="shared" si="3"/>
        <v>2886.6</v>
      </c>
      <c r="J17" s="15">
        <f t="shared" si="4"/>
        <v>12113.334210526313</v>
      </c>
      <c r="K17" s="14">
        <v>2375.9930513684203</v>
      </c>
      <c r="L17" s="15">
        <f t="shared" si="5"/>
        <v>17375.927261894733</v>
      </c>
      <c r="M17" s="13"/>
      <c r="N17" s="15">
        <f t="shared" si="6"/>
        <v>2375.9930513684203</v>
      </c>
      <c r="O17" s="15">
        <f t="shared" si="7"/>
        <v>2375.9930513684203</v>
      </c>
      <c r="P17" s="15">
        <f t="shared" si="8"/>
        <v>14999.934210526313</v>
      </c>
      <c r="Q17" s="46"/>
    </row>
    <row r="18" spans="1:17" ht="25.5" customHeight="1" x14ac:dyDescent="0.25">
      <c r="A18" s="31">
        <v>15</v>
      </c>
      <c r="B18" s="13" t="s">
        <v>42</v>
      </c>
      <c r="C18" s="13" t="s">
        <v>66</v>
      </c>
      <c r="D18" s="14">
        <v>3154.01</v>
      </c>
      <c r="E18" s="14">
        <f t="shared" si="0"/>
        <v>207.50065789473686</v>
      </c>
      <c r="F18" s="12">
        <f>31+28+31+30+31+30+31+25+30+31+3+31</f>
        <v>332</v>
      </c>
      <c r="G18" s="23">
        <f t="shared" si="2"/>
        <v>45.479452054794521</v>
      </c>
      <c r="H18" s="15">
        <f t="shared" si="9"/>
        <v>9437.0162220620059</v>
      </c>
      <c r="I18" s="21">
        <f>F18*30/365*96.22</f>
        <v>2625.6197260273971</v>
      </c>
      <c r="J18" s="15">
        <f>H18-I18</f>
        <v>6811.3964960346093</v>
      </c>
      <c r="K18" s="14">
        <v>957.82194808940221</v>
      </c>
      <c r="L18" s="15">
        <f t="shared" si="5"/>
        <v>10394.838170151408</v>
      </c>
      <c r="M18" s="13"/>
      <c r="N18" s="15">
        <f t="shared" si="6"/>
        <v>957.82194808940221</v>
      </c>
      <c r="O18" s="15">
        <f t="shared" si="7"/>
        <v>957.82194808940221</v>
      </c>
      <c r="P18" s="15">
        <f t="shared" si="8"/>
        <v>9437.0162220620059</v>
      </c>
      <c r="Q18" s="46"/>
    </row>
    <row r="19" spans="1:17" x14ac:dyDescent="0.25">
      <c r="A19" s="26"/>
      <c r="B19" s="33"/>
      <c r="C19" s="33"/>
      <c r="D19" s="30"/>
      <c r="E19" s="30"/>
      <c r="F19" s="27"/>
      <c r="G19" s="27"/>
      <c r="H19" s="35"/>
      <c r="I19" s="34"/>
      <c r="J19" s="35"/>
      <c r="K19" s="33"/>
      <c r="L19" s="35"/>
      <c r="M19" s="33"/>
      <c r="N19" s="35"/>
      <c r="O19" s="35"/>
      <c r="P19" s="35"/>
      <c r="Q19" s="45"/>
    </row>
    <row r="20" spans="1:17" x14ac:dyDescent="0.25">
      <c r="A20" s="104" t="s">
        <v>295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</row>
    <row r="21" spans="1:17" ht="25.5" customHeight="1" x14ac:dyDescent="0.25">
      <c r="A21" s="31">
        <v>1</v>
      </c>
      <c r="B21" s="13" t="s">
        <v>43</v>
      </c>
      <c r="C21" s="22" t="s">
        <v>67</v>
      </c>
      <c r="D21" s="14">
        <v>10540.39</v>
      </c>
      <c r="E21" s="14">
        <f>D21*2/30.4</f>
        <v>693.44671052631577</v>
      </c>
      <c r="F21" s="12">
        <f>31+28+31+30+31+30+31+31+30+31+30+31</f>
        <v>365</v>
      </c>
      <c r="G21" s="12">
        <f>F21*50/365</f>
        <v>50</v>
      </c>
      <c r="H21" s="15">
        <f>E21*G21</f>
        <v>34672.335526315786</v>
      </c>
      <c r="I21" s="21">
        <f t="shared" ref="I21:I38" si="10">F21*30/365*96.22</f>
        <v>2886.6</v>
      </c>
      <c r="J21" s="15">
        <f t="shared" ref="J21:J38" si="11">H21-I21</f>
        <v>31785.735526315788</v>
      </c>
      <c r="K21" s="14">
        <v>8017.7171778947377</v>
      </c>
      <c r="L21" s="15">
        <f t="shared" si="5"/>
        <v>42690.052704210524</v>
      </c>
      <c r="M21" s="13"/>
      <c r="N21" s="15">
        <f t="shared" si="6"/>
        <v>8017.7171778947377</v>
      </c>
      <c r="O21" s="15">
        <f t="shared" si="7"/>
        <v>8017.7171778947377</v>
      </c>
      <c r="P21" s="15">
        <f t="shared" si="8"/>
        <v>34672.335526315786</v>
      </c>
      <c r="Q21" s="46"/>
    </row>
    <row r="22" spans="1:17" ht="25.5" customHeight="1" x14ac:dyDescent="0.25">
      <c r="A22" s="31">
        <v>2</v>
      </c>
      <c r="B22" s="13" t="s">
        <v>44</v>
      </c>
      <c r="C22" s="22" t="s">
        <v>68</v>
      </c>
      <c r="D22" s="14">
        <v>7375</v>
      </c>
      <c r="E22" s="14">
        <f>D22*2/30.4</f>
        <v>485.19736842105266</v>
      </c>
      <c r="F22" s="12">
        <f>31+28+31+30+31+30+31+31+30+31+30+31</f>
        <v>365</v>
      </c>
      <c r="G22" s="12">
        <f>F22*50/365</f>
        <v>50</v>
      </c>
      <c r="H22" s="15">
        <f>E22*G22</f>
        <v>24259.868421052633</v>
      </c>
      <c r="I22" s="21">
        <f t="shared" si="10"/>
        <v>2886.6</v>
      </c>
      <c r="J22" s="15">
        <f t="shared" si="11"/>
        <v>21373.268421052635</v>
      </c>
      <c r="K22" s="14">
        <v>4762.6393086315802</v>
      </c>
      <c r="L22" s="15">
        <f t="shared" si="5"/>
        <v>29022.507729684214</v>
      </c>
      <c r="M22" s="13"/>
      <c r="N22" s="15">
        <f t="shared" si="6"/>
        <v>4762.6393086315802</v>
      </c>
      <c r="O22" s="15">
        <f t="shared" si="7"/>
        <v>4762.6393086315802</v>
      </c>
      <c r="P22" s="15">
        <f t="shared" si="8"/>
        <v>24259.868421052633</v>
      </c>
      <c r="Q22" s="46"/>
    </row>
    <row r="23" spans="1:17" ht="25.5" customHeight="1" x14ac:dyDescent="0.25">
      <c r="A23" s="31">
        <v>3</v>
      </c>
      <c r="B23" s="13" t="s">
        <v>32</v>
      </c>
      <c r="C23" s="13" t="s">
        <v>112</v>
      </c>
      <c r="D23" s="14">
        <v>6726</v>
      </c>
      <c r="E23" s="14">
        <f>D23*2/30.4</f>
        <v>442.5</v>
      </c>
      <c r="F23" s="12">
        <f>31+28+31+30+31+30+31+31+30+31+30+31</f>
        <v>365</v>
      </c>
      <c r="G23" s="12">
        <f>F23*50/365</f>
        <v>50</v>
      </c>
      <c r="H23" s="15">
        <f>E23*G23</f>
        <v>22125</v>
      </c>
      <c r="I23" s="21">
        <f t="shared" si="10"/>
        <v>2886.6</v>
      </c>
      <c r="J23" s="15">
        <f t="shared" si="11"/>
        <v>19238.400000000001</v>
      </c>
      <c r="K23" s="14">
        <v>4232.4814560000013</v>
      </c>
      <c r="L23" s="15">
        <f t="shared" si="5"/>
        <v>26357.481456000001</v>
      </c>
      <c r="M23" s="13"/>
      <c r="N23" s="15">
        <f t="shared" si="6"/>
        <v>4232.4814560000013</v>
      </c>
      <c r="O23" s="15">
        <f t="shared" si="7"/>
        <v>4232.4814560000013</v>
      </c>
      <c r="P23" s="15">
        <f t="shared" si="8"/>
        <v>22125</v>
      </c>
      <c r="Q23" s="46"/>
    </row>
    <row r="24" spans="1:17" ht="25.5" customHeight="1" x14ac:dyDescent="0.25">
      <c r="A24" s="31">
        <v>4</v>
      </c>
      <c r="B24" s="13" t="s">
        <v>45</v>
      </c>
      <c r="C24" s="13" t="s">
        <v>69</v>
      </c>
      <c r="D24" s="14">
        <v>4907.08</v>
      </c>
      <c r="E24" s="14">
        <f>D24*2/30.4</f>
        <v>322.83421052631581</v>
      </c>
      <c r="F24" s="12">
        <f>31+28+31+30+31+30+31+31+30+31+30+31</f>
        <v>365</v>
      </c>
      <c r="G24" s="12">
        <f>F24*50/365</f>
        <v>50</v>
      </c>
      <c r="H24" s="15">
        <f>E24*G24</f>
        <v>16141.71052631579</v>
      </c>
      <c r="I24" s="21">
        <f t="shared" si="10"/>
        <v>2886.6</v>
      </c>
      <c r="J24" s="15">
        <f t="shared" si="11"/>
        <v>13255.11052631579</v>
      </c>
      <c r="K24" s="14">
        <v>2682.413656421053</v>
      </c>
      <c r="L24" s="15">
        <f t="shared" si="5"/>
        <v>18824.124182736843</v>
      </c>
      <c r="M24" s="13"/>
      <c r="N24" s="15">
        <f t="shared" si="6"/>
        <v>2682.413656421053</v>
      </c>
      <c r="O24" s="15">
        <f t="shared" si="7"/>
        <v>2682.413656421053</v>
      </c>
      <c r="P24" s="15">
        <f t="shared" si="8"/>
        <v>16141.71052631579</v>
      </c>
      <c r="Q24" s="46"/>
    </row>
    <row r="25" spans="1:17" x14ac:dyDescent="0.25">
      <c r="A25" s="26"/>
      <c r="B25" s="33"/>
      <c r="C25" s="33"/>
      <c r="D25" s="33"/>
      <c r="E25" s="33"/>
      <c r="F25" s="33"/>
      <c r="G25" s="33"/>
      <c r="H25" s="33"/>
      <c r="I25" s="34"/>
      <c r="J25" s="35"/>
      <c r="K25" s="33"/>
      <c r="L25" s="35"/>
      <c r="M25" s="33"/>
      <c r="N25" s="35"/>
      <c r="O25" s="35"/>
      <c r="P25" s="35"/>
      <c r="Q25" s="45"/>
    </row>
    <row r="26" spans="1:17" x14ac:dyDescent="0.25">
      <c r="A26" s="104" t="s">
        <v>296</v>
      </c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</row>
    <row r="27" spans="1:17" ht="25.5" customHeight="1" x14ac:dyDescent="0.25">
      <c r="A27" s="31">
        <v>1</v>
      </c>
      <c r="B27" s="13" t="s">
        <v>46</v>
      </c>
      <c r="C27" s="13" t="s">
        <v>70</v>
      </c>
      <c r="D27" s="14">
        <v>8360</v>
      </c>
      <c r="E27" s="14">
        <f>D27*2/30.4</f>
        <v>550</v>
      </c>
      <c r="F27" s="12">
        <f>31+28+31+30+31+30+31+31+30+31+30+31</f>
        <v>365</v>
      </c>
      <c r="G27" s="12">
        <f>F27*50/365</f>
        <v>50</v>
      </c>
      <c r="H27" s="15">
        <f>E27*G27</f>
        <v>27500</v>
      </c>
      <c r="I27" s="21">
        <f t="shared" si="10"/>
        <v>2886.6</v>
      </c>
      <c r="J27" s="15">
        <f t="shared" si="11"/>
        <v>24613.4</v>
      </c>
      <c r="K27" s="14">
        <v>5567.2702560000016</v>
      </c>
      <c r="L27" s="15">
        <f t="shared" si="5"/>
        <v>33067.270256000003</v>
      </c>
      <c r="M27" s="13"/>
      <c r="N27" s="15">
        <f t="shared" si="6"/>
        <v>5567.2702560000016</v>
      </c>
      <c r="O27" s="15">
        <f t="shared" si="7"/>
        <v>5567.2702560000016</v>
      </c>
      <c r="P27" s="15">
        <f t="shared" si="8"/>
        <v>27500</v>
      </c>
      <c r="Q27" s="46"/>
    </row>
    <row r="28" spans="1:17" ht="25.5" customHeight="1" x14ac:dyDescent="0.25">
      <c r="A28" s="31">
        <v>2</v>
      </c>
      <c r="B28" s="13" t="s">
        <v>47</v>
      </c>
      <c r="C28" s="13" t="s">
        <v>71</v>
      </c>
      <c r="D28" s="14">
        <v>4104.42</v>
      </c>
      <c r="E28" s="14">
        <f>D28*2/30.4</f>
        <v>270.02763157894736</v>
      </c>
      <c r="F28" s="12">
        <f>31+28+31+30+31+30+31+31+30+31+30+31</f>
        <v>365</v>
      </c>
      <c r="G28" s="12">
        <f>F28*50/365</f>
        <v>50</v>
      </c>
      <c r="H28" s="15">
        <f>E28*G28</f>
        <v>13501.381578947368</v>
      </c>
      <c r="I28" s="21">
        <f t="shared" si="10"/>
        <v>2886.6</v>
      </c>
      <c r="J28" s="15">
        <f t="shared" si="11"/>
        <v>10614.781578947368</v>
      </c>
      <c r="K28" s="14">
        <v>2014.4168332631575</v>
      </c>
      <c r="L28" s="15">
        <f t="shared" si="5"/>
        <v>15515.798412210526</v>
      </c>
      <c r="M28" s="13"/>
      <c r="N28" s="15">
        <f t="shared" si="6"/>
        <v>2014.4168332631575</v>
      </c>
      <c r="O28" s="15">
        <f t="shared" si="7"/>
        <v>2014.4168332631575</v>
      </c>
      <c r="P28" s="15">
        <f t="shared" si="8"/>
        <v>13501.381578947368</v>
      </c>
      <c r="Q28" s="46"/>
    </row>
    <row r="29" spans="1:17" ht="25.5" customHeight="1" x14ac:dyDescent="0.25">
      <c r="A29" s="31">
        <v>3</v>
      </c>
      <c r="B29" s="13" t="s">
        <v>48</v>
      </c>
      <c r="C29" s="13" t="s">
        <v>72</v>
      </c>
      <c r="D29" s="14">
        <v>7571</v>
      </c>
      <c r="E29" s="14">
        <f>D29*2/30.4</f>
        <v>498.09210526315792</v>
      </c>
      <c r="F29" s="12">
        <f>31+28+31+30+31+30+31+31+30+31+30+31</f>
        <v>365</v>
      </c>
      <c r="G29" s="12">
        <f>F29*50/365</f>
        <v>50</v>
      </c>
      <c r="H29" s="15">
        <f>E29*G29</f>
        <v>24904.605263157897</v>
      </c>
      <c r="I29" s="21">
        <f t="shared" si="10"/>
        <v>2886.6</v>
      </c>
      <c r="J29" s="15">
        <f t="shared" si="11"/>
        <v>22018.005263157898</v>
      </c>
      <c r="K29" s="14">
        <v>4868.7486138947388</v>
      </c>
      <c r="L29" s="15">
        <f t="shared" si="5"/>
        <v>29773.353877052636</v>
      </c>
      <c r="M29" s="13"/>
      <c r="N29" s="15">
        <f t="shared" si="6"/>
        <v>4868.7486138947388</v>
      </c>
      <c r="O29" s="15">
        <f t="shared" si="7"/>
        <v>4868.7486138947388</v>
      </c>
      <c r="P29" s="15">
        <f t="shared" si="8"/>
        <v>24904.605263157897</v>
      </c>
      <c r="Q29" s="46"/>
    </row>
    <row r="30" spans="1:17" x14ac:dyDescent="0.25">
      <c r="A30" s="26"/>
      <c r="B30" s="33"/>
      <c r="C30" s="33"/>
      <c r="D30" s="33"/>
      <c r="E30" s="33"/>
      <c r="F30" s="33"/>
      <c r="G30" s="33"/>
      <c r="H30" s="33"/>
      <c r="I30" s="34"/>
      <c r="J30" s="35"/>
      <c r="K30" s="33"/>
      <c r="L30" s="35"/>
      <c r="M30" s="33"/>
      <c r="N30" s="35"/>
      <c r="O30" s="35"/>
      <c r="P30" s="35"/>
      <c r="Q30" s="45"/>
    </row>
    <row r="31" spans="1:17" x14ac:dyDescent="0.25">
      <c r="A31" s="107" t="s">
        <v>297</v>
      </c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9"/>
    </row>
    <row r="32" spans="1:17" ht="25.5" customHeight="1" x14ac:dyDescent="0.25">
      <c r="A32" s="31">
        <v>1</v>
      </c>
      <c r="B32" s="13" t="s">
        <v>49</v>
      </c>
      <c r="C32" s="13" t="s">
        <v>73</v>
      </c>
      <c r="D32" s="14">
        <v>6111.18</v>
      </c>
      <c r="E32" s="14">
        <f>D32*2/30.4</f>
        <v>402.05131578947373</v>
      </c>
      <c r="F32" s="12">
        <f>31+28+31+30+31+30+31+31+30+31+30+31</f>
        <v>365</v>
      </c>
      <c r="G32" s="12">
        <f>F32*50/365</f>
        <v>50</v>
      </c>
      <c r="H32" s="15">
        <f>E32*G32</f>
        <v>20102.565789473687</v>
      </c>
      <c r="I32" s="21">
        <f t="shared" si="10"/>
        <v>2886.6</v>
      </c>
      <c r="J32" s="15">
        <f t="shared" si="11"/>
        <v>17215.965789473688</v>
      </c>
      <c r="K32" s="14">
        <v>3690.371857684212</v>
      </c>
      <c r="L32" s="15">
        <f>H32+K32</f>
        <v>23792.937647157898</v>
      </c>
      <c r="M32" s="13"/>
      <c r="N32" s="15">
        <f t="shared" si="6"/>
        <v>3690.371857684212</v>
      </c>
      <c r="O32" s="15">
        <f t="shared" si="7"/>
        <v>3690.371857684212</v>
      </c>
      <c r="P32" s="15">
        <f t="shared" si="8"/>
        <v>20102.565789473687</v>
      </c>
      <c r="Q32" s="46"/>
    </row>
    <row r="33" spans="1:17" ht="25.5" customHeight="1" x14ac:dyDescent="0.25">
      <c r="A33" s="31">
        <v>2</v>
      </c>
      <c r="B33" s="13" t="s">
        <v>50</v>
      </c>
      <c r="C33" s="13" t="s">
        <v>74</v>
      </c>
      <c r="D33" s="14">
        <v>6111.18</v>
      </c>
      <c r="E33" s="14">
        <f>D33*2/30.4</f>
        <v>402.05131578947373</v>
      </c>
      <c r="F33" s="12">
        <f>31+28+31+30+31+30+31+31+30+31+30+31</f>
        <v>365</v>
      </c>
      <c r="G33" s="12">
        <f>F33*50/365</f>
        <v>50</v>
      </c>
      <c r="H33" s="15">
        <f>E33*G33</f>
        <v>20102.565789473687</v>
      </c>
      <c r="I33" s="21">
        <f t="shared" si="10"/>
        <v>2886.6</v>
      </c>
      <c r="J33" s="15">
        <f t="shared" si="11"/>
        <v>17215.965789473688</v>
      </c>
      <c r="K33" s="14">
        <v>3690.371857684212</v>
      </c>
      <c r="L33" s="15">
        <f t="shared" si="5"/>
        <v>23792.937647157898</v>
      </c>
      <c r="M33" s="13"/>
      <c r="N33" s="15">
        <f t="shared" si="6"/>
        <v>3690.371857684212</v>
      </c>
      <c r="O33" s="15">
        <f t="shared" si="7"/>
        <v>3690.371857684212</v>
      </c>
      <c r="P33" s="15">
        <f t="shared" si="8"/>
        <v>20102.565789473687</v>
      </c>
      <c r="Q33" s="46"/>
    </row>
    <row r="34" spans="1:17" ht="25.5" customHeight="1" x14ac:dyDescent="0.25">
      <c r="A34" s="31">
        <v>3</v>
      </c>
      <c r="B34" s="13" t="s">
        <v>51</v>
      </c>
      <c r="C34" s="13" t="s">
        <v>75</v>
      </c>
      <c r="D34" s="14">
        <v>4907.08</v>
      </c>
      <c r="E34" s="14">
        <f>D34*2/30.4</f>
        <v>322.83421052631581</v>
      </c>
      <c r="F34" s="12">
        <f>31+28+31+30+31+30+31+31+30+31+30+31</f>
        <v>365</v>
      </c>
      <c r="G34" s="12">
        <f>F34*50/365</f>
        <v>50</v>
      </c>
      <c r="H34" s="15">
        <f>E34*G34</f>
        <v>16141.71052631579</v>
      </c>
      <c r="I34" s="21">
        <f t="shared" si="10"/>
        <v>2886.6</v>
      </c>
      <c r="J34" s="15">
        <f t="shared" si="11"/>
        <v>13255.11052631579</v>
      </c>
      <c r="K34" s="14">
        <v>2682.413656421053</v>
      </c>
      <c r="L34" s="15">
        <f t="shared" si="5"/>
        <v>18824.124182736843</v>
      </c>
      <c r="M34" s="13"/>
      <c r="N34" s="15">
        <f t="shared" si="6"/>
        <v>2682.413656421053</v>
      </c>
      <c r="O34" s="15">
        <f t="shared" si="7"/>
        <v>2682.413656421053</v>
      </c>
      <c r="P34" s="15">
        <f t="shared" si="8"/>
        <v>16141.71052631579</v>
      </c>
      <c r="Q34" s="46"/>
    </row>
    <row r="35" spans="1:17" ht="25.5" customHeight="1" thickBot="1" x14ac:dyDescent="0.3">
      <c r="A35" s="36">
        <v>5</v>
      </c>
      <c r="B35" s="37" t="s">
        <v>52</v>
      </c>
      <c r="C35" s="37" t="s">
        <v>76</v>
      </c>
      <c r="D35" s="38">
        <v>2593.0500000000002</v>
      </c>
      <c r="E35" s="38">
        <f>D35*2/30.4</f>
        <v>170.59539473684214</v>
      </c>
      <c r="F35" s="39">
        <f>31+28+31+30+31+30+31+31+30+31+30+31</f>
        <v>365</v>
      </c>
      <c r="G35" s="39">
        <f>F35*50/365</f>
        <v>50</v>
      </c>
      <c r="H35" s="41">
        <f>E35*G35</f>
        <v>8529.7697368421068</v>
      </c>
      <c r="I35" s="47">
        <f t="shared" si="10"/>
        <v>2886.6</v>
      </c>
      <c r="J35" s="41">
        <f t="shared" si="11"/>
        <v>5643.1697368421064</v>
      </c>
      <c r="K35" s="38">
        <v>663.39931789473712</v>
      </c>
      <c r="L35" s="41">
        <f t="shared" si="5"/>
        <v>9193.1690547368435</v>
      </c>
      <c r="M35" s="37"/>
      <c r="N35" s="41">
        <f t="shared" si="6"/>
        <v>663.39931789473712</v>
      </c>
      <c r="O35" s="41">
        <f t="shared" si="7"/>
        <v>663.39931789473712</v>
      </c>
      <c r="P35" s="41">
        <f t="shared" si="8"/>
        <v>8529.7697368421068</v>
      </c>
      <c r="Q35" s="48"/>
    </row>
    <row r="36" spans="1:17" x14ac:dyDescent="0.25">
      <c r="A36" s="49"/>
      <c r="B36" s="50"/>
      <c r="C36" s="50"/>
      <c r="D36" s="50"/>
      <c r="E36" s="50"/>
      <c r="F36" s="50"/>
      <c r="G36" s="50"/>
      <c r="H36" s="50"/>
      <c r="I36" s="51"/>
      <c r="J36" s="52"/>
      <c r="K36" s="50"/>
      <c r="L36" s="52"/>
      <c r="M36" s="50"/>
      <c r="N36" s="52"/>
      <c r="O36" s="52"/>
      <c r="P36" s="52"/>
      <c r="Q36" s="53"/>
    </row>
    <row r="37" spans="1:17" x14ac:dyDescent="0.25">
      <c r="A37" s="104" t="s">
        <v>298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</row>
    <row r="38" spans="1:17" ht="25.5" customHeight="1" thickBot="1" x14ac:dyDescent="0.3">
      <c r="A38" s="36">
        <v>1</v>
      </c>
      <c r="B38" s="37" t="s">
        <v>53</v>
      </c>
      <c r="C38" s="37" t="s">
        <v>77</v>
      </c>
      <c r="D38" s="38">
        <v>7742.83</v>
      </c>
      <c r="E38" s="38">
        <f>D38*2/30.4</f>
        <v>509.39671052631581</v>
      </c>
      <c r="F38" s="39">
        <f>31+28+31+30+31+30+31+31+30+31+30+31</f>
        <v>365</v>
      </c>
      <c r="G38" s="39">
        <f>F38*50/365</f>
        <v>50</v>
      </c>
      <c r="H38" s="41">
        <f>E38*G38</f>
        <v>25469.83552631579</v>
      </c>
      <c r="I38" s="47">
        <f t="shared" si="10"/>
        <v>2886.6</v>
      </c>
      <c r="J38" s="41">
        <f t="shared" si="11"/>
        <v>22583.235526315792</v>
      </c>
      <c r="K38" s="38">
        <v>5063.1138277894752</v>
      </c>
      <c r="L38" s="41">
        <f t="shared" si="5"/>
        <v>30532.949354105265</v>
      </c>
      <c r="M38" s="37"/>
      <c r="N38" s="41">
        <f t="shared" si="6"/>
        <v>5063.1138277894752</v>
      </c>
      <c r="O38" s="41">
        <f t="shared" si="7"/>
        <v>5063.1138277894752</v>
      </c>
      <c r="P38" s="41">
        <f t="shared" si="8"/>
        <v>25469.83552631579</v>
      </c>
      <c r="Q38" s="48"/>
    </row>
    <row r="39" spans="1:17" ht="15.75" x14ac:dyDescent="0.25">
      <c r="A39" s="90" t="s">
        <v>299</v>
      </c>
      <c r="B39" s="90"/>
      <c r="C39" s="90"/>
      <c r="D39" s="24">
        <f>SUM(D38,D32:D35,D27:D29,D21:D24,D4:D18)</f>
        <v>186827.90999999997</v>
      </c>
      <c r="E39" s="24">
        <f>SUM(E38,E32:E35,E27:E29,E21:E24,E4:E18)</f>
        <v>12291.309868421047</v>
      </c>
      <c r="F39" s="25"/>
      <c r="G39" s="25"/>
      <c r="H39" s="24">
        <f>SUM(H38,H32:H35,H27:H29,H21:H24,H4:H18)</f>
        <v>605311.07281903399</v>
      </c>
      <c r="I39" s="25"/>
      <c r="J39" s="24">
        <f>SUM(J38,J32:J35,J27:J29,J21:J24,J4:J18)</f>
        <v>528828.03555875993</v>
      </c>
      <c r="K39" s="24">
        <f>SUM(K38,K32:K35,K27:K29,K21:K24,K4:K18)</f>
        <v>122807.0208165191</v>
      </c>
      <c r="L39" s="24">
        <f>SUM(L38,L32:L35,L27:L29,L21:L24,L4:L18)</f>
        <v>728118.09363555326</v>
      </c>
      <c r="M39" s="25"/>
      <c r="N39" s="24">
        <f>SUM(N38,N32:N35,N27:N29,N21:N24,N4:N18)</f>
        <v>122807.0208165191</v>
      </c>
      <c r="O39" s="24">
        <f>SUM(O38,O32:O35,O27:O29,O21:O24,O4:O18)</f>
        <v>122807.0208165191</v>
      </c>
      <c r="P39" s="24">
        <f>SUM(P38,P32:P35,P27:P29,P21:P24,P4:P18)</f>
        <v>605311.07281903399</v>
      </c>
    </row>
    <row r="45" spans="1:17" x14ac:dyDescent="0.25">
      <c r="P45" s="110" t="s">
        <v>427</v>
      </c>
      <c r="Q45" s="110"/>
    </row>
    <row r="46" spans="1:17" x14ac:dyDescent="0.25">
      <c r="B46" s="67" t="s">
        <v>423</v>
      </c>
      <c r="E46" s="110" t="s">
        <v>425</v>
      </c>
      <c r="F46" s="110"/>
      <c r="G46" s="110"/>
      <c r="H46" s="110"/>
      <c r="P46" s="111" t="s">
        <v>428</v>
      </c>
      <c r="Q46" s="111"/>
    </row>
    <row r="47" spans="1:17" x14ac:dyDescent="0.25">
      <c r="B47" s="68" t="s">
        <v>424</v>
      </c>
      <c r="E47" s="111" t="s">
        <v>426</v>
      </c>
      <c r="F47" s="111"/>
      <c r="G47" s="111"/>
      <c r="H47" s="111"/>
    </row>
  </sheetData>
  <mergeCells count="11">
    <mergeCell ref="E46:H46"/>
    <mergeCell ref="E47:H47"/>
    <mergeCell ref="P45:Q45"/>
    <mergeCell ref="P46:Q46"/>
    <mergeCell ref="A37:Q37"/>
    <mergeCell ref="A39:C39"/>
    <mergeCell ref="A1:Q1"/>
    <mergeCell ref="A2:Q2"/>
    <mergeCell ref="A20:Q20"/>
    <mergeCell ref="A26:Q26"/>
    <mergeCell ref="A31:Q31"/>
  </mergeCells>
  <pageMargins left="0.7" right="0.7" top="0.75" bottom="0.75" header="0.3" footer="0.3"/>
  <pageSetup paperSize="14" scale="6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6B1A2-70AA-4DB1-925A-1A52F0FB9E33}">
  <dimension ref="A1:W117"/>
  <sheetViews>
    <sheetView topLeftCell="A103" workbookViewId="0">
      <selection activeCell="G103" sqref="G103:K117"/>
    </sheetView>
  </sheetViews>
  <sheetFormatPr baseColWidth="10" defaultRowHeight="15" x14ac:dyDescent="0.25"/>
  <cols>
    <col min="1" max="1" width="26.42578125" customWidth="1"/>
    <col min="4" max="4" width="25.140625" customWidth="1"/>
    <col min="7" max="7" width="25.7109375" customWidth="1"/>
    <col min="10" max="10" width="24.85546875" customWidth="1"/>
    <col min="13" max="13" width="25.140625" customWidth="1"/>
    <col min="16" max="16" width="24.85546875" customWidth="1"/>
    <col min="19" max="19" width="24.28515625" customWidth="1"/>
    <col min="22" max="22" width="24.42578125" customWidth="1"/>
  </cols>
  <sheetData>
    <row r="1" spans="1:23" ht="18.75" x14ac:dyDescent="0.3">
      <c r="A1" s="95" t="s">
        <v>268</v>
      </c>
      <c r="B1" s="96"/>
      <c r="C1" s="3"/>
      <c r="D1" s="96"/>
      <c r="E1" s="96"/>
      <c r="G1" s="95" t="s">
        <v>30</v>
      </c>
      <c r="H1" s="96"/>
      <c r="I1" s="3"/>
      <c r="J1" s="96"/>
      <c r="K1" s="96"/>
      <c r="M1" s="95" t="s">
        <v>269</v>
      </c>
      <c r="N1" s="96"/>
      <c r="O1" s="3"/>
      <c r="P1" s="96"/>
      <c r="Q1" s="96"/>
      <c r="S1" s="95" t="s">
        <v>270</v>
      </c>
      <c r="T1" s="96"/>
      <c r="U1" s="3"/>
      <c r="V1" s="96"/>
      <c r="W1" s="96"/>
    </row>
    <row r="2" spans="1:23" x14ac:dyDescent="0.25">
      <c r="A2" s="3"/>
      <c r="B2" s="3"/>
      <c r="C2" s="3"/>
      <c r="D2" s="3"/>
      <c r="E2" s="3"/>
      <c r="G2" s="3"/>
      <c r="H2" s="3"/>
      <c r="I2" s="3"/>
      <c r="J2" s="3"/>
      <c r="K2" s="3"/>
      <c r="M2" s="3"/>
      <c r="N2" s="3"/>
      <c r="O2" s="3"/>
      <c r="P2" s="3"/>
      <c r="Q2" s="3"/>
      <c r="S2" s="3"/>
      <c r="T2" s="3"/>
      <c r="U2" s="3"/>
      <c r="V2" s="3"/>
      <c r="W2" s="3"/>
    </row>
    <row r="3" spans="1:23" x14ac:dyDescent="0.25">
      <c r="A3" s="3"/>
      <c r="B3" s="3"/>
      <c r="C3" s="3"/>
      <c r="D3" s="3" t="s">
        <v>249</v>
      </c>
      <c r="E3" s="3">
        <f>B5</f>
        <v>53074</v>
      </c>
      <c r="G3" s="3"/>
      <c r="H3" s="3"/>
      <c r="I3" s="3"/>
      <c r="J3" s="3" t="s">
        <v>249</v>
      </c>
      <c r="K3" s="3">
        <f>H5</f>
        <v>17542</v>
      </c>
      <c r="M3" s="3"/>
      <c r="N3" s="3"/>
      <c r="O3" s="3"/>
      <c r="P3" s="3" t="s">
        <v>249</v>
      </c>
      <c r="Q3" s="3">
        <f>N5</f>
        <v>17237.54</v>
      </c>
      <c r="S3" s="3"/>
      <c r="T3" s="3"/>
      <c r="U3" s="3"/>
      <c r="V3" s="3" t="s">
        <v>249</v>
      </c>
      <c r="W3" s="3">
        <f>T5</f>
        <v>12222.36</v>
      </c>
    </row>
    <row r="4" spans="1:23" x14ac:dyDescent="0.25">
      <c r="A4" s="3"/>
      <c r="B4" s="3"/>
      <c r="C4" s="3"/>
      <c r="D4" s="3" t="s">
        <v>250</v>
      </c>
      <c r="E4" s="3">
        <v>84373.268421052635</v>
      </c>
      <c r="G4" s="3"/>
      <c r="H4" s="3"/>
      <c r="I4" s="3"/>
      <c r="J4" s="3" t="s">
        <v>250</v>
      </c>
      <c r="K4" s="3">
        <v>25965.373684210528</v>
      </c>
      <c r="M4" s="3"/>
      <c r="N4" s="3"/>
      <c r="O4" s="3"/>
      <c r="P4" s="3" t="s">
        <v>250</v>
      </c>
      <c r="Q4" s="3">
        <v>25464.617105263165</v>
      </c>
      <c r="S4" s="3"/>
      <c r="T4" s="3"/>
      <c r="U4" s="3"/>
      <c r="V4" s="3" t="s">
        <v>250</v>
      </c>
      <c r="W4" s="3">
        <v>17215.965789473688</v>
      </c>
    </row>
    <row r="5" spans="1:23" x14ac:dyDescent="0.25">
      <c r="A5" s="3" t="s">
        <v>249</v>
      </c>
      <c r="B5" s="3">
        <f>26537*2</f>
        <v>53074</v>
      </c>
      <c r="C5" s="3"/>
      <c r="D5" s="3" t="s">
        <v>251</v>
      </c>
      <c r="E5" s="3">
        <f>E3+E4</f>
        <v>137447.26842105263</v>
      </c>
      <c r="G5" s="3" t="s">
        <v>249</v>
      </c>
      <c r="H5" s="3">
        <f>8771*2</f>
        <v>17542</v>
      </c>
      <c r="I5" s="3"/>
      <c r="J5" s="3" t="s">
        <v>251</v>
      </c>
      <c r="K5" s="3">
        <f>K3+K4</f>
        <v>43507.373684210528</v>
      </c>
      <c r="M5" s="3" t="s">
        <v>249</v>
      </c>
      <c r="N5" s="3">
        <f>8618.77*2</f>
        <v>17237.54</v>
      </c>
      <c r="O5" s="3"/>
      <c r="P5" s="3" t="s">
        <v>251</v>
      </c>
      <c r="Q5" s="3">
        <f>Q3+Q4</f>
        <v>42702.157105263163</v>
      </c>
      <c r="S5" s="3" t="s">
        <v>249</v>
      </c>
      <c r="T5" s="3">
        <f>6111.18*2</f>
        <v>12222.36</v>
      </c>
      <c r="U5" s="3"/>
      <c r="V5" s="3" t="s">
        <v>251</v>
      </c>
      <c r="W5" s="3">
        <f>W3+W4</f>
        <v>29438.325789473689</v>
      </c>
    </row>
    <row r="6" spans="1:23" x14ac:dyDescent="0.25">
      <c r="A6" s="3" t="s">
        <v>252</v>
      </c>
      <c r="B6" s="3">
        <v>42537.59</v>
      </c>
      <c r="C6" s="3"/>
      <c r="D6" s="3" t="s">
        <v>252</v>
      </c>
      <c r="E6" s="3">
        <v>108281.68</v>
      </c>
      <c r="G6" s="3" t="s">
        <v>252</v>
      </c>
      <c r="H6" s="3">
        <v>13381.48</v>
      </c>
      <c r="I6" s="3"/>
      <c r="J6" s="3" t="s">
        <v>252</v>
      </c>
      <c r="K6" s="3">
        <v>42537.59</v>
      </c>
      <c r="M6" s="3" t="s">
        <v>252</v>
      </c>
      <c r="N6" s="3">
        <v>13381.48</v>
      </c>
      <c r="O6" s="3"/>
      <c r="P6" s="3" t="s">
        <v>252</v>
      </c>
      <c r="Q6" s="3">
        <v>42537.59</v>
      </c>
      <c r="S6" s="3" t="s">
        <v>252</v>
      </c>
      <c r="T6" s="3">
        <v>11176.63</v>
      </c>
      <c r="U6" s="3"/>
      <c r="V6" s="3" t="s">
        <v>252</v>
      </c>
      <c r="W6" s="3">
        <v>26988.51</v>
      </c>
    </row>
    <row r="7" spans="1:23" x14ac:dyDescent="0.25">
      <c r="A7" s="3" t="s">
        <v>253</v>
      </c>
      <c r="B7" s="3">
        <f>B5-B6</f>
        <v>10536.410000000003</v>
      </c>
      <c r="C7" s="3"/>
      <c r="D7" s="3" t="s">
        <v>253</v>
      </c>
      <c r="E7" s="3">
        <f>(E5-E6)</f>
        <v>29165.588421052642</v>
      </c>
      <c r="G7" s="3" t="s">
        <v>253</v>
      </c>
      <c r="H7" s="3">
        <f>H5-H6</f>
        <v>4160.5200000000004</v>
      </c>
      <c r="I7" s="3"/>
      <c r="J7" s="3" t="s">
        <v>253</v>
      </c>
      <c r="K7" s="3">
        <f>(K5-K6)</f>
        <v>969.78368421053165</v>
      </c>
      <c r="M7" s="3" t="s">
        <v>253</v>
      </c>
      <c r="N7" s="3">
        <f>N5-N6</f>
        <v>3856.0600000000013</v>
      </c>
      <c r="O7" s="3"/>
      <c r="P7" s="3" t="s">
        <v>253</v>
      </c>
      <c r="Q7" s="3">
        <f>(Q5-Q6)</f>
        <v>164.56710526316601</v>
      </c>
      <c r="S7" s="3" t="s">
        <v>253</v>
      </c>
      <c r="T7" s="3">
        <f>T5-T6</f>
        <v>1045.7300000000014</v>
      </c>
      <c r="U7" s="3"/>
      <c r="V7" s="3" t="s">
        <v>253</v>
      </c>
      <c r="W7" s="3">
        <f>(W5-W6)</f>
        <v>2449.8157894736905</v>
      </c>
    </row>
    <row r="8" spans="1:23" x14ac:dyDescent="0.25">
      <c r="A8" s="3" t="s">
        <v>254</v>
      </c>
      <c r="B8" s="5">
        <v>0.3</v>
      </c>
      <c r="C8" s="3"/>
      <c r="D8" s="3" t="s">
        <v>254</v>
      </c>
      <c r="E8" s="5">
        <v>0.34</v>
      </c>
      <c r="G8" s="3" t="s">
        <v>254</v>
      </c>
      <c r="H8" s="5">
        <v>0.21360000000000001</v>
      </c>
      <c r="I8" s="3"/>
      <c r="J8" s="3" t="s">
        <v>254</v>
      </c>
      <c r="K8" s="5">
        <v>0.3</v>
      </c>
      <c r="M8" s="3" t="s">
        <v>254</v>
      </c>
      <c r="N8" s="5">
        <v>0.21360000000000001</v>
      </c>
      <c r="O8" s="3"/>
      <c r="P8" s="3" t="s">
        <v>254</v>
      </c>
      <c r="Q8" s="5">
        <v>0.3</v>
      </c>
      <c r="S8" s="3" t="s">
        <v>254</v>
      </c>
      <c r="T8" s="5">
        <v>0.1792</v>
      </c>
      <c r="U8" s="3"/>
      <c r="V8" s="3" t="s">
        <v>254</v>
      </c>
      <c r="W8" s="5">
        <v>0.23519999999999999</v>
      </c>
    </row>
    <row r="9" spans="1:23" x14ac:dyDescent="0.25">
      <c r="A9" s="3" t="s">
        <v>255</v>
      </c>
      <c r="B9" s="3">
        <f>B7*B8</f>
        <v>3160.9230000000011</v>
      </c>
      <c r="C9" s="3"/>
      <c r="D9" s="3" t="s">
        <v>255</v>
      </c>
      <c r="E9" s="3">
        <f>(E7*E8)</f>
        <v>9916.3000631578998</v>
      </c>
      <c r="G9" s="3" t="s">
        <v>255</v>
      </c>
      <c r="H9" s="3">
        <f>H7*H8</f>
        <v>888.68707200000017</v>
      </c>
      <c r="I9" s="3"/>
      <c r="J9" s="3" t="s">
        <v>255</v>
      </c>
      <c r="K9" s="3">
        <f>(K7*K8)</f>
        <v>290.93510526315947</v>
      </c>
      <c r="M9" s="3" t="s">
        <v>255</v>
      </c>
      <c r="N9" s="3">
        <f>N7*N8</f>
        <v>823.65441600000031</v>
      </c>
      <c r="O9" s="3"/>
      <c r="P9" s="3" t="s">
        <v>255</v>
      </c>
      <c r="Q9" s="3">
        <f>(Q7*Q8)</f>
        <v>49.370131578949803</v>
      </c>
      <c r="S9" s="3" t="s">
        <v>255</v>
      </c>
      <c r="T9" s="3">
        <f>T7*T8</f>
        <v>187.39481600000025</v>
      </c>
      <c r="U9" s="3"/>
      <c r="V9" s="3" t="s">
        <v>255</v>
      </c>
      <c r="W9" s="3">
        <f>(W7*W8)</f>
        <v>576.19667368421199</v>
      </c>
    </row>
    <row r="10" spans="1:23" x14ac:dyDescent="0.25">
      <c r="A10" s="3" t="s">
        <v>256</v>
      </c>
      <c r="B10" s="3">
        <v>7980.73</v>
      </c>
      <c r="C10" s="3"/>
      <c r="D10" s="3" t="s">
        <v>256</v>
      </c>
      <c r="E10" s="3">
        <v>28245.360000000001</v>
      </c>
      <c r="G10" s="3" t="s">
        <v>256</v>
      </c>
      <c r="H10" s="3">
        <v>1417.12</v>
      </c>
      <c r="I10" s="3"/>
      <c r="J10" s="3" t="s">
        <v>256</v>
      </c>
      <c r="K10" s="3">
        <v>7980.73</v>
      </c>
      <c r="M10" s="3" t="s">
        <v>256</v>
      </c>
      <c r="N10" s="3">
        <v>1417.12</v>
      </c>
      <c r="O10" s="3"/>
      <c r="P10" s="3" t="s">
        <v>256</v>
      </c>
      <c r="Q10" s="3">
        <v>7980.73</v>
      </c>
      <c r="S10" s="3" t="s">
        <v>256</v>
      </c>
      <c r="T10" s="3">
        <v>1022.01</v>
      </c>
      <c r="U10" s="3"/>
      <c r="V10" s="3" t="s">
        <v>256</v>
      </c>
      <c r="W10" s="3">
        <v>4323.58</v>
      </c>
    </row>
    <row r="11" spans="1:23" x14ac:dyDescent="0.25">
      <c r="A11" s="3" t="s">
        <v>257</v>
      </c>
      <c r="B11" s="3">
        <f>B9+B10</f>
        <v>11141.653</v>
      </c>
      <c r="C11" s="3"/>
      <c r="D11" s="3" t="s">
        <v>257</v>
      </c>
      <c r="E11" s="3">
        <f>(E9+E10)</f>
        <v>38161.660063157899</v>
      </c>
      <c r="G11" s="3" t="s">
        <v>257</v>
      </c>
      <c r="H11" s="3">
        <f>H9+H10</f>
        <v>2305.8070720000001</v>
      </c>
      <c r="I11" s="3"/>
      <c r="J11" s="3" t="s">
        <v>257</v>
      </c>
      <c r="K11" s="3">
        <f>(K9+K10)</f>
        <v>8271.6651052631587</v>
      </c>
      <c r="M11" s="3" t="s">
        <v>257</v>
      </c>
      <c r="N11" s="3">
        <f>N9+N10</f>
        <v>2240.7744160000002</v>
      </c>
      <c r="O11" s="3"/>
      <c r="P11" s="3" t="s">
        <v>257</v>
      </c>
      <c r="Q11" s="3">
        <f>(Q9+Q10)</f>
        <v>8030.100131578949</v>
      </c>
      <c r="S11" s="3" t="s">
        <v>257</v>
      </c>
      <c r="T11" s="3">
        <f>T9+T10</f>
        <v>1209.4048160000002</v>
      </c>
      <c r="U11" s="3"/>
      <c r="V11" s="3" t="s">
        <v>257</v>
      </c>
      <c r="W11" s="3">
        <f>(W9+W10)</f>
        <v>4899.7766736842123</v>
      </c>
    </row>
    <row r="12" spans="1:23" x14ac:dyDescent="0.25">
      <c r="A12" s="3" t="s">
        <v>258</v>
      </c>
      <c r="B12" s="3"/>
      <c r="C12" s="3"/>
      <c r="D12" s="3" t="s">
        <v>258</v>
      </c>
      <c r="E12" s="3"/>
      <c r="G12" s="3" t="s">
        <v>258</v>
      </c>
      <c r="H12" s="3"/>
      <c r="I12" s="3"/>
      <c r="J12" s="3" t="s">
        <v>258</v>
      </c>
      <c r="K12" s="3"/>
      <c r="M12" s="3" t="s">
        <v>258</v>
      </c>
      <c r="N12" s="3"/>
      <c r="O12" s="3"/>
      <c r="P12" s="3" t="s">
        <v>258</v>
      </c>
      <c r="Q12" s="3"/>
      <c r="S12" s="3" t="s">
        <v>258</v>
      </c>
      <c r="T12" s="3"/>
      <c r="U12" s="3"/>
      <c r="V12" s="3" t="s">
        <v>258</v>
      </c>
      <c r="W12" s="3"/>
    </row>
    <row r="13" spans="1:23" x14ac:dyDescent="0.25">
      <c r="A13" s="3" t="s">
        <v>259</v>
      </c>
      <c r="B13" s="3">
        <f>(B11-B12)</f>
        <v>11141.653</v>
      </c>
      <c r="C13" s="3"/>
      <c r="D13" s="3" t="s">
        <v>259</v>
      </c>
      <c r="E13" s="3">
        <f>(E11-E12)</f>
        <v>38161.660063157899</v>
      </c>
      <c r="G13" s="3" t="s">
        <v>259</v>
      </c>
      <c r="H13" s="3">
        <f>(H11-H12)</f>
        <v>2305.8070720000001</v>
      </c>
      <c r="I13" s="3"/>
      <c r="J13" s="3" t="s">
        <v>259</v>
      </c>
      <c r="K13" s="3">
        <f>(K11-K12)</f>
        <v>8271.6651052631587</v>
      </c>
      <c r="M13" s="3" t="s">
        <v>259</v>
      </c>
      <c r="N13" s="3">
        <f>(N11-N12)</f>
        <v>2240.7744160000002</v>
      </c>
      <c r="O13" s="3"/>
      <c r="P13" s="3" t="s">
        <v>259</v>
      </c>
      <c r="Q13" s="3">
        <f>(Q11-Q12)</f>
        <v>8030.100131578949</v>
      </c>
      <c r="S13" s="3" t="s">
        <v>259</v>
      </c>
      <c r="T13" s="3">
        <f>(T11-T12)</f>
        <v>1209.4048160000002</v>
      </c>
      <c r="U13" s="3"/>
      <c r="V13" s="3" t="s">
        <v>259</v>
      </c>
      <c r="W13" s="3">
        <f>(W11-W12)</f>
        <v>4899.7766736842123</v>
      </c>
    </row>
    <row r="14" spans="1:23" x14ac:dyDescent="0.25">
      <c r="A14" s="3"/>
      <c r="B14" s="3"/>
      <c r="C14" s="3"/>
      <c r="D14" s="3"/>
      <c r="E14" s="3"/>
      <c r="G14" s="3"/>
      <c r="H14" s="3"/>
      <c r="I14" s="3"/>
      <c r="J14" s="3"/>
      <c r="K14" s="3"/>
      <c r="M14" s="3"/>
      <c r="N14" s="3"/>
      <c r="O14" s="3"/>
      <c r="P14" s="3"/>
      <c r="Q14" s="3"/>
      <c r="S14" s="3"/>
      <c r="T14" s="3"/>
      <c r="U14" s="3"/>
      <c r="V14" s="3"/>
      <c r="W14" s="3"/>
    </row>
    <row r="15" spans="1:23" x14ac:dyDescent="0.25">
      <c r="A15" s="3"/>
      <c r="B15" s="3"/>
      <c r="C15" s="3"/>
      <c r="D15" s="3" t="s">
        <v>260</v>
      </c>
      <c r="E15" s="3">
        <f>E13-B13</f>
        <v>27020.0070631579</v>
      </c>
      <c r="G15" s="3"/>
      <c r="H15" s="3"/>
      <c r="I15" s="3"/>
      <c r="J15" s="3" t="s">
        <v>260</v>
      </c>
      <c r="K15" s="3">
        <f>K13-H13</f>
        <v>5965.8580332631591</v>
      </c>
      <c r="M15" s="3"/>
      <c r="N15" s="3"/>
      <c r="O15" s="3"/>
      <c r="P15" s="3" t="s">
        <v>260</v>
      </c>
      <c r="Q15" s="3">
        <f>Q13-N13</f>
        <v>5789.3257155789488</v>
      </c>
      <c r="S15" s="3"/>
      <c r="T15" s="3"/>
      <c r="U15" s="3"/>
      <c r="V15" s="3" t="s">
        <v>260</v>
      </c>
      <c r="W15" s="3">
        <f>W13-T13</f>
        <v>3690.371857684212</v>
      </c>
    </row>
    <row r="18" spans="1:23" ht="18.75" x14ac:dyDescent="0.3">
      <c r="A18" s="95" t="s">
        <v>271</v>
      </c>
      <c r="B18" s="96"/>
      <c r="C18" s="3"/>
      <c r="D18" s="96"/>
      <c r="E18" s="96"/>
      <c r="G18" s="95" t="s">
        <v>272</v>
      </c>
      <c r="H18" s="96"/>
      <c r="I18" s="3"/>
      <c r="J18" s="96"/>
      <c r="K18" s="96"/>
      <c r="M18" s="95" t="s">
        <v>273</v>
      </c>
      <c r="N18" s="96"/>
      <c r="O18" s="3"/>
      <c r="P18" s="96"/>
      <c r="Q18" s="96"/>
      <c r="S18" s="95" t="s">
        <v>274</v>
      </c>
      <c r="T18" s="96"/>
      <c r="U18" s="3"/>
      <c r="V18" s="96"/>
      <c r="W18" s="96"/>
    </row>
    <row r="19" spans="1:23" x14ac:dyDescent="0.25">
      <c r="A19" s="3"/>
      <c r="B19" s="3"/>
      <c r="C19" s="3"/>
      <c r="D19" s="3"/>
      <c r="E19" s="3"/>
      <c r="G19" s="3"/>
      <c r="H19" s="3"/>
      <c r="I19" s="3"/>
      <c r="J19" s="3"/>
      <c r="K19" s="3"/>
      <c r="M19" s="3"/>
      <c r="N19" s="3"/>
      <c r="O19" s="3"/>
      <c r="P19" s="3"/>
      <c r="Q19" s="3"/>
      <c r="S19" s="3"/>
      <c r="T19" s="3"/>
      <c r="U19" s="3"/>
      <c r="V19" s="3"/>
      <c r="W19" s="3"/>
    </row>
    <row r="20" spans="1:23" x14ac:dyDescent="0.25">
      <c r="A20" s="3"/>
      <c r="B20" s="3"/>
      <c r="C20" s="3"/>
      <c r="D20" s="3" t="s">
        <v>249</v>
      </c>
      <c r="E20" s="3">
        <f>B22</f>
        <v>12222.36</v>
      </c>
      <c r="G20" s="3"/>
      <c r="H20" s="3"/>
      <c r="I20" s="3"/>
      <c r="J20" s="3" t="s">
        <v>249</v>
      </c>
      <c r="K20" s="3">
        <f>H22</f>
        <v>12222.36</v>
      </c>
      <c r="M20" s="3"/>
      <c r="N20" s="3"/>
      <c r="O20" s="3"/>
      <c r="P20" s="3" t="s">
        <v>249</v>
      </c>
      <c r="Q20" s="3">
        <f>N22</f>
        <v>12222.36</v>
      </c>
      <c r="S20" s="3"/>
      <c r="T20" s="3"/>
      <c r="U20" s="3"/>
      <c r="V20" s="3" t="s">
        <v>249</v>
      </c>
      <c r="W20" s="3">
        <f>T22</f>
        <v>12222.36</v>
      </c>
    </row>
    <row r="21" spans="1:23" x14ac:dyDescent="0.25">
      <c r="A21" s="3"/>
      <c r="B21" s="3"/>
      <c r="C21" s="3"/>
      <c r="D21" s="3" t="s">
        <v>250</v>
      </c>
      <c r="E21" s="3">
        <v>17215.965789473688</v>
      </c>
      <c r="G21" s="3"/>
      <c r="H21" s="3"/>
      <c r="I21" s="3"/>
      <c r="J21" s="3" t="s">
        <v>250</v>
      </c>
      <c r="K21" s="3">
        <v>17215.965789473688</v>
      </c>
      <c r="M21" s="3"/>
      <c r="N21" s="3"/>
      <c r="O21" s="3"/>
      <c r="P21" s="3" t="s">
        <v>250</v>
      </c>
      <c r="Q21" s="3">
        <v>17215.965789473688</v>
      </c>
      <c r="S21" s="3"/>
      <c r="T21" s="3"/>
      <c r="U21" s="3"/>
      <c r="V21" s="3" t="s">
        <v>250</v>
      </c>
      <c r="W21" s="3">
        <v>10093.744325883203</v>
      </c>
    </row>
    <row r="22" spans="1:23" x14ac:dyDescent="0.25">
      <c r="A22" s="3" t="s">
        <v>249</v>
      </c>
      <c r="B22" s="3">
        <f>6111.18*2</f>
        <v>12222.36</v>
      </c>
      <c r="C22" s="3"/>
      <c r="D22" s="3" t="s">
        <v>251</v>
      </c>
      <c r="E22" s="3">
        <f>E20+E21</f>
        <v>29438.325789473689</v>
      </c>
      <c r="G22" s="3" t="s">
        <v>249</v>
      </c>
      <c r="H22" s="3">
        <f>6111.18*2</f>
        <v>12222.36</v>
      </c>
      <c r="I22" s="3"/>
      <c r="J22" s="3" t="s">
        <v>251</v>
      </c>
      <c r="K22" s="3">
        <f>K20+K21</f>
        <v>29438.325789473689</v>
      </c>
      <c r="M22" s="3" t="s">
        <v>249</v>
      </c>
      <c r="N22" s="3">
        <f>6111.18*2</f>
        <v>12222.36</v>
      </c>
      <c r="O22" s="3"/>
      <c r="P22" s="3" t="s">
        <v>251</v>
      </c>
      <c r="Q22" s="3">
        <f>Q20+Q21</f>
        <v>29438.325789473689</v>
      </c>
      <c r="S22" s="3" t="s">
        <v>249</v>
      </c>
      <c r="T22" s="3">
        <f>6111.18*2</f>
        <v>12222.36</v>
      </c>
      <c r="U22" s="3"/>
      <c r="V22" s="3" t="s">
        <v>251</v>
      </c>
      <c r="W22" s="3">
        <f>W20+W21</f>
        <v>22316.104325883203</v>
      </c>
    </row>
    <row r="23" spans="1:23" x14ac:dyDescent="0.25">
      <c r="A23" s="3" t="s">
        <v>252</v>
      </c>
      <c r="B23" s="3">
        <v>11176.63</v>
      </c>
      <c r="C23" s="3"/>
      <c r="D23" s="3" t="s">
        <v>252</v>
      </c>
      <c r="E23" s="3">
        <v>26988.51</v>
      </c>
      <c r="G23" s="3" t="s">
        <v>252</v>
      </c>
      <c r="H23" s="3">
        <v>11176.63</v>
      </c>
      <c r="I23" s="3"/>
      <c r="J23" s="3" t="s">
        <v>252</v>
      </c>
      <c r="K23" s="3">
        <v>26988.51</v>
      </c>
      <c r="M23" s="3" t="s">
        <v>252</v>
      </c>
      <c r="N23" s="3">
        <v>11176.63</v>
      </c>
      <c r="O23" s="3"/>
      <c r="P23" s="3" t="s">
        <v>252</v>
      </c>
      <c r="Q23" s="3">
        <v>26988.51</v>
      </c>
      <c r="S23" s="3" t="s">
        <v>252</v>
      </c>
      <c r="T23" s="3">
        <v>11176.63</v>
      </c>
      <c r="U23" s="3"/>
      <c r="V23" s="3" t="s">
        <v>252</v>
      </c>
      <c r="W23" s="3">
        <v>13381.48</v>
      </c>
    </row>
    <row r="24" spans="1:23" x14ac:dyDescent="0.25">
      <c r="A24" s="3" t="s">
        <v>253</v>
      </c>
      <c r="B24" s="3">
        <f>B22-B23</f>
        <v>1045.7300000000014</v>
      </c>
      <c r="C24" s="3"/>
      <c r="D24" s="3" t="s">
        <v>253</v>
      </c>
      <c r="E24" s="3">
        <f>(E22-E23)</f>
        <v>2449.8157894736905</v>
      </c>
      <c r="G24" s="3" t="s">
        <v>253</v>
      </c>
      <c r="H24" s="3">
        <f>H22-H23</f>
        <v>1045.7300000000014</v>
      </c>
      <c r="I24" s="3"/>
      <c r="J24" s="3" t="s">
        <v>253</v>
      </c>
      <c r="K24" s="3">
        <f>(K22-K23)</f>
        <v>2449.8157894736905</v>
      </c>
      <c r="M24" s="3" t="s">
        <v>253</v>
      </c>
      <c r="N24" s="3">
        <f>N22-N23</f>
        <v>1045.7300000000014</v>
      </c>
      <c r="O24" s="3"/>
      <c r="P24" s="3" t="s">
        <v>253</v>
      </c>
      <c r="Q24" s="3">
        <f>(Q22-Q23)</f>
        <v>2449.8157894736905</v>
      </c>
      <c r="S24" s="3" t="s">
        <v>253</v>
      </c>
      <c r="T24" s="3">
        <f>T22-T23</f>
        <v>1045.7300000000014</v>
      </c>
      <c r="U24" s="3"/>
      <c r="V24" s="3" t="s">
        <v>253</v>
      </c>
      <c r="W24" s="3">
        <f>(W22-W23)</f>
        <v>8934.6243258832037</v>
      </c>
    </row>
    <row r="25" spans="1:23" x14ac:dyDescent="0.25">
      <c r="A25" s="3" t="s">
        <v>254</v>
      </c>
      <c r="B25" s="5">
        <v>0.1792</v>
      </c>
      <c r="C25" s="3"/>
      <c r="D25" s="3" t="s">
        <v>254</v>
      </c>
      <c r="E25" s="5">
        <v>0.23519999999999999</v>
      </c>
      <c r="G25" s="3" t="s">
        <v>254</v>
      </c>
      <c r="H25" s="5">
        <v>0.1792</v>
      </c>
      <c r="I25" s="3"/>
      <c r="J25" s="3" t="s">
        <v>254</v>
      </c>
      <c r="K25" s="5">
        <v>0.23519999999999999</v>
      </c>
      <c r="M25" s="3" t="s">
        <v>254</v>
      </c>
      <c r="N25" s="5">
        <v>0.1792</v>
      </c>
      <c r="O25" s="3"/>
      <c r="P25" s="3" t="s">
        <v>254</v>
      </c>
      <c r="Q25" s="5">
        <v>0.23519999999999999</v>
      </c>
      <c r="S25" s="3" t="s">
        <v>254</v>
      </c>
      <c r="T25" s="5">
        <v>0.1792</v>
      </c>
      <c r="U25" s="3"/>
      <c r="V25" s="3" t="s">
        <v>254</v>
      </c>
      <c r="W25" s="5">
        <v>0.21360000000000001</v>
      </c>
    </row>
    <row r="26" spans="1:23" x14ac:dyDescent="0.25">
      <c r="A26" s="3" t="s">
        <v>255</v>
      </c>
      <c r="B26" s="3">
        <f>B24*B25</f>
        <v>187.39481600000025</v>
      </c>
      <c r="C26" s="3"/>
      <c r="D26" s="3" t="s">
        <v>255</v>
      </c>
      <c r="E26" s="3">
        <f>(E24*E25)</f>
        <v>576.19667368421199</v>
      </c>
      <c r="G26" s="3" t="s">
        <v>255</v>
      </c>
      <c r="H26" s="3">
        <f>H24*H25</f>
        <v>187.39481600000025</v>
      </c>
      <c r="I26" s="3"/>
      <c r="J26" s="3" t="s">
        <v>255</v>
      </c>
      <c r="K26" s="3">
        <f>(K24*K25)</f>
        <v>576.19667368421199</v>
      </c>
      <c r="M26" s="3" t="s">
        <v>255</v>
      </c>
      <c r="N26" s="3">
        <f>N24*N25</f>
        <v>187.39481600000025</v>
      </c>
      <c r="O26" s="3"/>
      <c r="P26" s="3" t="s">
        <v>255</v>
      </c>
      <c r="Q26" s="3">
        <f>(Q24*Q25)</f>
        <v>576.19667368421199</v>
      </c>
      <c r="S26" s="3" t="s">
        <v>255</v>
      </c>
      <c r="T26" s="3">
        <f>T24*T25</f>
        <v>187.39481600000025</v>
      </c>
      <c r="U26" s="3"/>
      <c r="V26" s="3" t="s">
        <v>255</v>
      </c>
      <c r="W26" s="3">
        <f>(W24*W25)</f>
        <v>1908.4357560086523</v>
      </c>
    </row>
    <row r="27" spans="1:23" x14ac:dyDescent="0.25">
      <c r="A27" s="3" t="s">
        <v>256</v>
      </c>
      <c r="B27" s="3">
        <v>1022.01</v>
      </c>
      <c r="C27" s="3"/>
      <c r="D27" s="3" t="s">
        <v>256</v>
      </c>
      <c r="E27" s="3">
        <v>4323.58</v>
      </c>
      <c r="G27" s="3" t="s">
        <v>256</v>
      </c>
      <c r="H27" s="3">
        <v>1022.01</v>
      </c>
      <c r="I27" s="3"/>
      <c r="J27" s="3" t="s">
        <v>256</v>
      </c>
      <c r="K27" s="3">
        <v>4323.58</v>
      </c>
      <c r="M27" s="3" t="s">
        <v>256</v>
      </c>
      <c r="N27" s="3">
        <v>1022.01</v>
      </c>
      <c r="O27" s="3"/>
      <c r="P27" s="3" t="s">
        <v>256</v>
      </c>
      <c r="Q27" s="3">
        <v>4323.58</v>
      </c>
      <c r="S27" s="3" t="s">
        <v>256</v>
      </c>
      <c r="T27" s="3">
        <v>1022.01</v>
      </c>
      <c r="U27" s="3"/>
      <c r="V27" s="3" t="s">
        <v>256</v>
      </c>
      <c r="W27" s="3">
        <v>1417.12</v>
      </c>
    </row>
    <row r="28" spans="1:23" x14ac:dyDescent="0.25">
      <c r="A28" s="3" t="s">
        <v>257</v>
      </c>
      <c r="B28" s="3">
        <f>B26+B27</f>
        <v>1209.4048160000002</v>
      </c>
      <c r="C28" s="3"/>
      <c r="D28" s="3" t="s">
        <v>257</v>
      </c>
      <c r="E28" s="3">
        <f>(E26+E27)</f>
        <v>4899.7766736842123</v>
      </c>
      <c r="G28" s="3" t="s">
        <v>257</v>
      </c>
      <c r="H28" s="3">
        <f>H26+H27</f>
        <v>1209.4048160000002</v>
      </c>
      <c r="I28" s="3"/>
      <c r="J28" s="3" t="s">
        <v>257</v>
      </c>
      <c r="K28" s="3">
        <f>(K26+K27)</f>
        <v>4899.7766736842123</v>
      </c>
      <c r="M28" s="3" t="s">
        <v>257</v>
      </c>
      <c r="N28" s="3">
        <f>N26+N27</f>
        <v>1209.4048160000002</v>
      </c>
      <c r="O28" s="3"/>
      <c r="P28" s="3" t="s">
        <v>257</v>
      </c>
      <c r="Q28" s="3">
        <f>(Q26+Q27)</f>
        <v>4899.7766736842123</v>
      </c>
      <c r="S28" s="3" t="s">
        <v>257</v>
      </c>
      <c r="T28" s="3">
        <f>T26+T27</f>
        <v>1209.4048160000002</v>
      </c>
      <c r="U28" s="3"/>
      <c r="V28" s="3" t="s">
        <v>257</v>
      </c>
      <c r="W28" s="3">
        <f>(W26+W27)</f>
        <v>3325.5557560086522</v>
      </c>
    </row>
    <row r="29" spans="1:23" x14ac:dyDescent="0.25">
      <c r="A29" s="3" t="s">
        <v>258</v>
      </c>
      <c r="B29" s="3"/>
      <c r="C29" s="3"/>
      <c r="D29" s="3" t="s">
        <v>258</v>
      </c>
      <c r="E29" s="3"/>
      <c r="G29" s="3" t="s">
        <v>258</v>
      </c>
      <c r="H29" s="3"/>
      <c r="I29" s="3"/>
      <c r="J29" s="3" t="s">
        <v>258</v>
      </c>
      <c r="K29" s="3"/>
      <c r="M29" s="3" t="s">
        <v>258</v>
      </c>
      <c r="N29" s="3"/>
      <c r="O29" s="3"/>
      <c r="P29" s="3" t="s">
        <v>258</v>
      </c>
      <c r="Q29" s="3"/>
      <c r="S29" s="3" t="s">
        <v>258</v>
      </c>
      <c r="T29" s="3"/>
      <c r="U29" s="3"/>
      <c r="V29" s="3" t="s">
        <v>258</v>
      </c>
      <c r="W29" s="3"/>
    </row>
    <row r="30" spans="1:23" x14ac:dyDescent="0.25">
      <c r="A30" s="3" t="s">
        <v>259</v>
      </c>
      <c r="B30" s="3">
        <f>(B28-B29)</f>
        <v>1209.4048160000002</v>
      </c>
      <c r="C30" s="3"/>
      <c r="D30" s="3" t="s">
        <v>259</v>
      </c>
      <c r="E30" s="3">
        <f>(E28-E29)</f>
        <v>4899.7766736842123</v>
      </c>
      <c r="G30" s="3" t="s">
        <v>259</v>
      </c>
      <c r="H30" s="3">
        <f>(H28-H29)</f>
        <v>1209.4048160000002</v>
      </c>
      <c r="I30" s="3"/>
      <c r="J30" s="3" t="s">
        <v>259</v>
      </c>
      <c r="K30" s="3">
        <f>(K28-K29)</f>
        <v>4899.7766736842123</v>
      </c>
      <c r="M30" s="3" t="s">
        <v>259</v>
      </c>
      <c r="N30" s="3">
        <f>(N28-N29)</f>
        <v>1209.4048160000002</v>
      </c>
      <c r="O30" s="3"/>
      <c r="P30" s="3" t="s">
        <v>259</v>
      </c>
      <c r="Q30" s="3">
        <f>(Q28-Q29)</f>
        <v>4899.7766736842123</v>
      </c>
      <c r="S30" s="3" t="s">
        <v>259</v>
      </c>
      <c r="T30" s="3">
        <f>(T28-T29)</f>
        <v>1209.4048160000002</v>
      </c>
      <c r="U30" s="3"/>
      <c r="V30" s="3" t="s">
        <v>259</v>
      </c>
      <c r="W30" s="3">
        <f>(W28-W29)</f>
        <v>3325.5557560086522</v>
      </c>
    </row>
    <row r="31" spans="1:23" x14ac:dyDescent="0.25">
      <c r="A31" s="3"/>
      <c r="B31" s="3"/>
      <c r="C31" s="3"/>
      <c r="D31" s="3"/>
      <c r="E31" s="3"/>
      <c r="G31" s="3"/>
      <c r="H31" s="3"/>
      <c r="I31" s="3"/>
      <c r="J31" s="3"/>
      <c r="K31" s="3"/>
      <c r="M31" s="3"/>
      <c r="N31" s="3"/>
      <c r="O31" s="3"/>
      <c r="P31" s="3"/>
      <c r="Q31" s="3"/>
      <c r="S31" s="3"/>
      <c r="T31" s="3"/>
      <c r="U31" s="3"/>
      <c r="V31" s="3"/>
      <c r="W31" s="3"/>
    </row>
    <row r="32" spans="1:23" x14ac:dyDescent="0.25">
      <c r="A32" s="3"/>
      <c r="B32" s="3"/>
      <c r="C32" s="3"/>
      <c r="D32" s="3" t="s">
        <v>260</v>
      </c>
      <c r="E32" s="3">
        <f>E30-B30</f>
        <v>3690.371857684212</v>
      </c>
      <c r="G32" s="3"/>
      <c r="H32" s="3"/>
      <c r="I32" s="3"/>
      <c r="J32" s="3" t="s">
        <v>260</v>
      </c>
      <c r="K32" s="3">
        <f>K30-H30</f>
        <v>3690.371857684212</v>
      </c>
      <c r="M32" s="3"/>
      <c r="N32" s="3"/>
      <c r="O32" s="3"/>
      <c r="P32" s="3" t="s">
        <v>260</v>
      </c>
      <c r="Q32" s="3">
        <f>Q30-N30</f>
        <v>3690.371857684212</v>
      </c>
      <c r="S32" s="3"/>
      <c r="T32" s="3"/>
      <c r="U32" s="3"/>
      <c r="V32" s="3" t="s">
        <v>260</v>
      </c>
      <c r="W32" s="3">
        <f>W30-T30</f>
        <v>2116.150940008652</v>
      </c>
    </row>
    <row r="35" spans="1:23" ht="18.75" x14ac:dyDescent="0.3">
      <c r="A35" s="95" t="s">
        <v>275</v>
      </c>
      <c r="B35" s="96"/>
      <c r="C35" s="3"/>
      <c r="D35" s="96"/>
      <c r="E35" s="96"/>
      <c r="G35" s="95" t="s">
        <v>276</v>
      </c>
      <c r="H35" s="96"/>
      <c r="I35" s="3"/>
      <c r="J35" s="96"/>
      <c r="K35" s="96"/>
      <c r="M35" s="95" t="s">
        <v>277</v>
      </c>
      <c r="N35" s="96"/>
      <c r="O35" s="3"/>
      <c r="P35" s="96"/>
      <c r="Q35" s="96"/>
      <c r="S35" s="95" t="s">
        <v>278</v>
      </c>
      <c r="T35" s="96"/>
      <c r="U35" s="3"/>
      <c r="V35" s="96"/>
      <c r="W35" s="96"/>
    </row>
    <row r="36" spans="1:23" x14ac:dyDescent="0.25">
      <c r="A36" s="3"/>
      <c r="B36" s="3"/>
      <c r="C36" s="3"/>
      <c r="D36" s="3"/>
      <c r="E36" s="3"/>
      <c r="G36" s="3"/>
      <c r="H36" s="3"/>
      <c r="I36" s="3"/>
      <c r="J36" s="3"/>
      <c r="K36" s="3"/>
      <c r="M36" s="3"/>
      <c r="N36" s="3"/>
      <c r="O36" s="3"/>
      <c r="P36" s="3"/>
      <c r="Q36" s="3"/>
      <c r="S36" s="3"/>
      <c r="T36" s="3"/>
      <c r="U36" s="3"/>
      <c r="V36" s="3"/>
      <c r="W36" s="3"/>
    </row>
    <row r="37" spans="1:23" x14ac:dyDescent="0.25">
      <c r="A37" s="3"/>
      <c r="B37" s="3"/>
      <c r="C37" s="3"/>
      <c r="D37" s="3" t="s">
        <v>249</v>
      </c>
      <c r="E37" s="3">
        <f>B39</f>
        <v>12222.36</v>
      </c>
      <c r="G37" s="3"/>
      <c r="H37" s="3"/>
      <c r="I37" s="3"/>
      <c r="J37" s="3" t="s">
        <v>249</v>
      </c>
      <c r="K37" s="3">
        <f>H39</f>
        <v>12222.36</v>
      </c>
      <c r="M37" s="3"/>
      <c r="N37" s="3"/>
      <c r="O37" s="3"/>
      <c r="P37" s="3" t="s">
        <v>249</v>
      </c>
      <c r="Q37" s="3">
        <f>N39</f>
        <v>12222.36</v>
      </c>
      <c r="S37" s="3"/>
      <c r="T37" s="3"/>
      <c r="U37" s="3"/>
      <c r="V37" s="3" t="s">
        <v>249</v>
      </c>
      <c r="W37" s="3">
        <f>T39</f>
        <v>7643.3</v>
      </c>
    </row>
    <row r="38" spans="1:23" x14ac:dyDescent="0.25">
      <c r="A38" s="3"/>
      <c r="B38" s="3"/>
      <c r="C38" s="3"/>
      <c r="D38" s="3" t="s">
        <v>250</v>
      </c>
      <c r="E38" s="3">
        <v>17215.965789473688</v>
      </c>
      <c r="G38" s="3"/>
      <c r="H38" s="3"/>
      <c r="I38" s="3"/>
      <c r="J38" s="3" t="s">
        <v>250</v>
      </c>
      <c r="K38" s="3">
        <v>17215.965789473688</v>
      </c>
      <c r="M38" s="3"/>
      <c r="N38" s="3"/>
      <c r="O38" s="3"/>
      <c r="P38" s="3" t="s">
        <v>250</v>
      </c>
      <c r="Q38" s="3">
        <v>17215.965789473688</v>
      </c>
      <c r="S38" s="3"/>
      <c r="T38" s="3"/>
      <c r="U38" s="3"/>
      <c r="V38" s="3" t="s">
        <v>250</v>
      </c>
      <c r="W38" s="3">
        <v>9684.617105263158</v>
      </c>
    </row>
    <row r="39" spans="1:23" x14ac:dyDescent="0.25">
      <c r="A39" s="3" t="s">
        <v>249</v>
      </c>
      <c r="B39" s="3">
        <f>6111.18*2</f>
        <v>12222.36</v>
      </c>
      <c r="C39" s="3"/>
      <c r="D39" s="3" t="s">
        <v>251</v>
      </c>
      <c r="E39" s="3">
        <f>E37+E38</f>
        <v>29438.325789473689</v>
      </c>
      <c r="G39" s="3" t="s">
        <v>249</v>
      </c>
      <c r="H39" s="3">
        <f>6111.18*2</f>
        <v>12222.36</v>
      </c>
      <c r="I39" s="3"/>
      <c r="J39" s="3" t="s">
        <v>251</v>
      </c>
      <c r="K39" s="3">
        <f>K37+K38</f>
        <v>29438.325789473689</v>
      </c>
      <c r="M39" s="3" t="s">
        <v>249</v>
      </c>
      <c r="N39" s="3">
        <f>6111.18*2</f>
        <v>12222.36</v>
      </c>
      <c r="O39" s="3"/>
      <c r="P39" s="3" t="s">
        <v>251</v>
      </c>
      <c r="Q39" s="3">
        <f>Q37+Q38</f>
        <v>29438.325789473689</v>
      </c>
      <c r="S39" s="3" t="s">
        <v>249</v>
      </c>
      <c r="T39" s="3">
        <f>3821.65*2</f>
        <v>7643.3</v>
      </c>
      <c r="U39" s="3"/>
      <c r="V39" s="3" t="s">
        <v>251</v>
      </c>
      <c r="W39" s="3">
        <f>W37+W38</f>
        <v>17327.917105263157</v>
      </c>
    </row>
    <row r="40" spans="1:23" x14ac:dyDescent="0.25">
      <c r="A40" s="3" t="s">
        <v>252</v>
      </c>
      <c r="B40" s="3">
        <v>11176.63</v>
      </c>
      <c r="C40" s="3"/>
      <c r="D40" s="3" t="s">
        <v>252</v>
      </c>
      <c r="E40" s="3">
        <v>26988.51</v>
      </c>
      <c r="G40" s="3" t="s">
        <v>252</v>
      </c>
      <c r="H40" s="3">
        <v>11176.63</v>
      </c>
      <c r="I40" s="3"/>
      <c r="J40" s="3" t="s">
        <v>252</v>
      </c>
      <c r="K40" s="3">
        <v>26988.51</v>
      </c>
      <c r="M40" s="3" t="s">
        <v>252</v>
      </c>
      <c r="N40" s="3">
        <v>11176.63</v>
      </c>
      <c r="O40" s="3"/>
      <c r="P40" s="3" t="s">
        <v>252</v>
      </c>
      <c r="Q40" s="3">
        <v>26988.51</v>
      </c>
      <c r="S40" s="3" t="s">
        <v>252</v>
      </c>
      <c r="T40" s="3">
        <v>5470.93</v>
      </c>
      <c r="U40" s="3"/>
      <c r="V40" s="3" t="s">
        <v>252</v>
      </c>
      <c r="W40" s="3">
        <v>13381.48</v>
      </c>
    </row>
    <row r="41" spans="1:23" x14ac:dyDescent="0.25">
      <c r="A41" s="3" t="s">
        <v>253</v>
      </c>
      <c r="B41" s="3">
        <f>B39-B40</f>
        <v>1045.7300000000014</v>
      </c>
      <c r="C41" s="3"/>
      <c r="D41" s="3" t="s">
        <v>253</v>
      </c>
      <c r="E41" s="3">
        <f>(E39-E40)</f>
        <v>2449.8157894736905</v>
      </c>
      <c r="G41" s="3" t="s">
        <v>253</v>
      </c>
      <c r="H41" s="3">
        <f>H39-H40</f>
        <v>1045.7300000000014</v>
      </c>
      <c r="I41" s="3"/>
      <c r="J41" s="3" t="s">
        <v>253</v>
      </c>
      <c r="K41" s="3">
        <f>(K39-K40)</f>
        <v>2449.8157894736905</v>
      </c>
      <c r="M41" s="3" t="s">
        <v>253</v>
      </c>
      <c r="N41" s="3">
        <f>N39-N40</f>
        <v>1045.7300000000014</v>
      </c>
      <c r="O41" s="3"/>
      <c r="P41" s="3" t="s">
        <v>253</v>
      </c>
      <c r="Q41" s="3">
        <f>(Q39-Q40)</f>
        <v>2449.8157894736905</v>
      </c>
      <c r="S41" s="3" t="s">
        <v>253</v>
      </c>
      <c r="T41" s="3">
        <f>T39-T40</f>
        <v>2172.37</v>
      </c>
      <c r="U41" s="3"/>
      <c r="V41" s="3" t="s">
        <v>253</v>
      </c>
      <c r="W41" s="3">
        <f>(W39-W40)</f>
        <v>3946.4371052631577</v>
      </c>
    </row>
    <row r="42" spans="1:23" x14ac:dyDescent="0.25">
      <c r="A42" s="3" t="s">
        <v>254</v>
      </c>
      <c r="B42" s="5">
        <v>0.1792</v>
      </c>
      <c r="C42" s="3"/>
      <c r="D42" s="3" t="s">
        <v>254</v>
      </c>
      <c r="E42" s="5">
        <v>0.23519999999999999</v>
      </c>
      <c r="G42" s="3" t="s">
        <v>254</v>
      </c>
      <c r="H42" s="5">
        <v>0.1792</v>
      </c>
      <c r="I42" s="3"/>
      <c r="J42" s="3" t="s">
        <v>254</v>
      </c>
      <c r="K42" s="5">
        <v>0.23519999999999999</v>
      </c>
      <c r="M42" s="3" t="s">
        <v>254</v>
      </c>
      <c r="N42" s="5">
        <v>0.1792</v>
      </c>
      <c r="O42" s="3"/>
      <c r="P42" s="3" t="s">
        <v>254</v>
      </c>
      <c r="Q42" s="5">
        <v>0.23519999999999999</v>
      </c>
      <c r="S42" s="3" t="s">
        <v>254</v>
      </c>
      <c r="T42" s="5">
        <v>0.10879999999999999</v>
      </c>
      <c r="U42" s="3"/>
      <c r="V42" s="3" t="s">
        <v>254</v>
      </c>
      <c r="W42" s="5">
        <v>0.21360000000000001</v>
      </c>
    </row>
    <row r="43" spans="1:23" x14ac:dyDescent="0.25">
      <c r="A43" s="3" t="s">
        <v>255</v>
      </c>
      <c r="B43" s="3">
        <f>B41*B42</f>
        <v>187.39481600000025</v>
      </c>
      <c r="C43" s="3"/>
      <c r="D43" s="3" t="s">
        <v>255</v>
      </c>
      <c r="E43" s="3">
        <f>(E41*E42)</f>
        <v>576.19667368421199</v>
      </c>
      <c r="G43" s="3" t="s">
        <v>255</v>
      </c>
      <c r="H43" s="3">
        <f>H41*H42</f>
        <v>187.39481600000025</v>
      </c>
      <c r="I43" s="3"/>
      <c r="J43" s="3" t="s">
        <v>255</v>
      </c>
      <c r="K43" s="3">
        <f>(K41*K42)</f>
        <v>576.19667368421199</v>
      </c>
      <c r="M43" s="3" t="s">
        <v>255</v>
      </c>
      <c r="N43" s="3">
        <f>N41*N42</f>
        <v>187.39481600000025</v>
      </c>
      <c r="O43" s="3"/>
      <c r="P43" s="3" t="s">
        <v>255</v>
      </c>
      <c r="Q43" s="3">
        <f>(Q41*Q42)</f>
        <v>576.19667368421199</v>
      </c>
      <c r="S43" s="3" t="s">
        <v>255</v>
      </c>
      <c r="T43" s="3">
        <f>T41*T42</f>
        <v>236.35385599999998</v>
      </c>
      <c r="U43" s="3"/>
      <c r="V43" s="3" t="s">
        <v>255</v>
      </c>
      <c r="W43" s="3">
        <f>(W41*W42)</f>
        <v>842.95896568421051</v>
      </c>
    </row>
    <row r="44" spans="1:23" x14ac:dyDescent="0.25">
      <c r="A44" s="3" t="s">
        <v>256</v>
      </c>
      <c r="B44" s="3">
        <v>1022.01</v>
      </c>
      <c r="C44" s="3"/>
      <c r="D44" s="3" t="s">
        <v>256</v>
      </c>
      <c r="E44" s="3">
        <v>4323.58</v>
      </c>
      <c r="G44" s="3" t="s">
        <v>256</v>
      </c>
      <c r="H44" s="3">
        <v>1022.01</v>
      </c>
      <c r="I44" s="3"/>
      <c r="J44" s="3" t="s">
        <v>256</v>
      </c>
      <c r="K44" s="3">
        <v>4323.58</v>
      </c>
      <c r="M44" s="3" t="s">
        <v>256</v>
      </c>
      <c r="N44" s="3">
        <v>1022.01</v>
      </c>
      <c r="O44" s="3"/>
      <c r="P44" s="3" t="s">
        <v>256</v>
      </c>
      <c r="Q44" s="3">
        <v>4323.58</v>
      </c>
      <c r="S44" s="3" t="s">
        <v>256</v>
      </c>
      <c r="T44" s="3">
        <v>321.26</v>
      </c>
      <c r="U44" s="3"/>
      <c r="V44" s="3" t="s">
        <v>256</v>
      </c>
      <c r="W44" s="3">
        <v>1417.12</v>
      </c>
    </row>
    <row r="45" spans="1:23" x14ac:dyDescent="0.25">
      <c r="A45" s="3" t="s">
        <v>257</v>
      </c>
      <c r="B45" s="3">
        <f>B43+B44</f>
        <v>1209.4048160000002</v>
      </c>
      <c r="C45" s="3"/>
      <c r="D45" s="3" t="s">
        <v>257</v>
      </c>
      <c r="E45" s="3">
        <f>(E43+E44)</f>
        <v>4899.7766736842123</v>
      </c>
      <c r="G45" s="3" t="s">
        <v>257</v>
      </c>
      <c r="H45" s="3">
        <f>H43+H44</f>
        <v>1209.4048160000002</v>
      </c>
      <c r="I45" s="3"/>
      <c r="J45" s="3" t="s">
        <v>257</v>
      </c>
      <c r="K45" s="3">
        <f>(K43+K44)</f>
        <v>4899.7766736842123</v>
      </c>
      <c r="M45" s="3" t="s">
        <v>257</v>
      </c>
      <c r="N45" s="3">
        <f>N43+N44</f>
        <v>1209.4048160000002</v>
      </c>
      <c r="O45" s="3"/>
      <c r="P45" s="3" t="s">
        <v>257</v>
      </c>
      <c r="Q45" s="3">
        <f>(Q43+Q44)</f>
        <v>4899.7766736842123</v>
      </c>
      <c r="S45" s="3" t="s">
        <v>257</v>
      </c>
      <c r="T45" s="3">
        <f>T43+T44</f>
        <v>557.61385599999994</v>
      </c>
      <c r="U45" s="3"/>
      <c r="V45" s="3" t="s">
        <v>257</v>
      </c>
      <c r="W45" s="3">
        <f>(W43+W44)</f>
        <v>2260.0789656842103</v>
      </c>
    </row>
    <row r="46" spans="1:23" x14ac:dyDescent="0.25">
      <c r="A46" s="3" t="s">
        <v>258</v>
      </c>
      <c r="B46" s="3"/>
      <c r="C46" s="3"/>
      <c r="D46" s="3" t="s">
        <v>258</v>
      </c>
      <c r="E46" s="3"/>
      <c r="G46" s="3" t="s">
        <v>258</v>
      </c>
      <c r="H46" s="3"/>
      <c r="I46" s="3"/>
      <c r="J46" s="3" t="s">
        <v>258</v>
      </c>
      <c r="K46" s="3"/>
      <c r="M46" s="3" t="s">
        <v>258</v>
      </c>
      <c r="N46" s="3"/>
      <c r="O46" s="3"/>
      <c r="P46" s="3" t="s">
        <v>258</v>
      </c>
      <c r="Q46" s="3"/>
      <c r="S46" s="3" t="s">
        <v>258</v>
      </c>
      <c r="T46" s="3"/>
      <c r="U46" s="3"/>
      <c r="V46" s="3" t="s">
        <v>258</v>
      </c>
      <c r="W46" s="3"/>
    </row>
    <row r="47" spans="1:23" x14ac:dyDescent="0.25">
      <c r="A47" s="3" t="s">
        <v>259</v>
      </c>
      <c r="B47" s="3">
        <f>(B45-B46)</f>
        <v>1209.4048160000002</v>
      </c>
      <c r="C47" s="3"/>
      <c r="D47" s="3" t="s">
        <v>259</v>
      </c>
      <c r="E47" s="3">
        <f>(E45-E46)</f>
        <v>4899.7766736842123</v>
      </c>
      <c r="G47" s="3" t="s">
        <v>259</v>
      </c>
      <c r="H47" s="3">
        <f>(H45-H46)</f>
        <v>1209.4048160000002</v>
      </c>
      <c r="I47" s="3"/>
      <c r="J47" s="3" t="s">
        <v>259</v>
      </c>
      <c r="K47" s="3">
        <f>(K45-K46)</f>
        <v>4899.7766736842123</v>
      </c>
      <c r="M47" s="3" t="s">
        <v>259</v>
      </c>
      <c r="N47" s="3">
        <f>(N45-N46)</f>
        <v>1209.4048160000002</v>
      </c>
      <c r="O47" s="3"/>
      <c r="P47" s="3" t="s">
        <v>259</v>
      </c>
      <c r="Q47" s="3">
        <f>(Q45-Q46)</f>
        <v>4899.7766736842123</v>
      </c>
      <c r="S47" s="3" t="s">
        <v>259</v>
      </c>
      <c r="T47" s="3">
        <f>(T45-T46)</f>
        <v>557.61385599999994</v>
      </c>
      <c r="U47" s="3"/>
      <c r="V47" s="3" t="s">
        <v>259</v>
      </c>
      <c r="W47" s="3">
        <f>(W45-W46)</f>
        <v>2260.0789656842103</v>
      </c>
    </row>
    <row r="48" spans="1:23" x14ac:dyDescent="0.25">
      <c r="A48" s="3"/>
      <c r="B48" s="3"/>
      <c r="C48" s="3"/>
      <c r="D48" s="3"/>
      <c r="E48" s="3"/>
      <c r="G48" s="3"/>
      <c r="H48" s="3"/>
      <c r="I48" s="3"/>
      <c r="J48" s="3"/>
      <c r="K48" s="3"/>
      <c r="M48" s="3"/>
      <c r="N48" s="3"/>
      <c r="O48" s="3"/>
      <c r="P48" s="3"/>
      <c r="Q48" s="3"/>
      <c r="S48" s="3"/>
      <c r="T48" s="3"/>
      <c r="U48" s="3"/>
      <c r="V48" s="3"/>
      <c r="W48" s="3"/>
    </row>
    <row r="49" spans="1:23" x14ac:dyDescent="0.25">
      <c r="A49" s="3"/>
      <c r="B49" s="3"/>
      <c r="C49" s="3"/>
      <c r="D49" s="3" t="s">
        <v>260</v>
      </c>
      <c r="E49" s="3">
        <f>E47-B47</f>
        <v>3690.371857684212</v>
      </c>
      <c r="G49" s="3"/>
      <c r="H49" s="3"/>
      <c r="I49" s="3"/>
      <c r="J49" s="3" t="s">
        <v>260</v>
      </c>
      <c r="K49" s="3">
        <f>K47-H47</f>
        <v>3690.371857684212</v>
      </c>
      <c r="M49" s="3"/>
      <c r="N49" s="3"/>
      <c r="O49" s="3"/>
      <c r="P49" s="3" t="s">
        <v>260</v>
      </c>
      <c r="Q49" s="3">
        <f>Q47-N47</f>
        <v>3690.371857684212</v>
      </c>
      <c r="S49" s="3"/>
      <c r="T49" s="3"/>
      <c r="U49" s="3"/>
      <c r="V49" s="3" t="s">
        <v>260</v>
      </c>
      <c r="W49" s="3">
        <f>W47-T47</f>
        <v>1702.4651096842103</v>
      </c>
    </row>
    <row r="52" spans="1:23" ht="18.75" x14ac:dyDescent="0.3">
      <c r="A52" s="95" t="s">
        <v>279</v>
      </c>
      <c r="B52" s="96"/>
      <c r="C52" s="3"/>
      <c r="D52" s="96"/>
      <c r="E52" s="96"/>
      <c r="G52" s="95" t="s">
        <v>280</v>
      </c>
      <c r="H52" s="96"/>
      <c r="I52" s="3"/>
      <c r="J52" s="96"/>
      <c r="K52" s="96"/>
      <c r="M52" s="95" t="s">
        <v>281</v>
      </c>
      <c r="N52" s="96"/>
      <c r="O52" s="3"/>
      <c r="P52" s="96"/>
      <c r="Q52" s="96"/>
      <c r="S52" s="95" t="s">
        <v>282</v>
      </c>
      <c r="T52" s="96"/>
      <c r="U52" s="3"/>
      <c r="V52" s="96"/>
      <c r="W52" s="96"/>
    </row>
    <row r="53" spans="1:23" x14ac:dyDescent="0.25">
      <c r="A53" s="3"/>
      <c r="B53" s="3"/>
      <c r="C53" s="3"/>
      <c r="D53" s="3"/>
      <c r="E53" s="3"/>
      <c r="G53" s="3"/>
      <c r="H53" s="3"/>
      <c r="I53" s="3"/>
      <c r="J53" s="3"/>
      <c r="K53" s="3"/>
      <c r="M53" s="3"/>
      <c r="N53" s="3"/>
      <c r="O53" s="3"/>
      <c r="P53" s="3"/>
      <c r="Q53" s="3"/>
      <c r="S53" s="3"/>
      <c r="T53" s="3"/>
      <c r="U53" s="3"/>
      <c r="V53" s="3"/>
      <c r="W53" s="3"/>
    </row>
    <row r="54" spans="1:23" x14ac:dyDescent="0.25">
      <c r="A54" s="3"/>
      <c r="B54" s="3"/>
      <c r="C54" s="3"/>
      <c r="D54" s="3" t="s">
        <v>249</v>
      </c>
      <c r="E54" s="3">
        <f>B56</f>
        <v>10873.7</v>
      </c>
      <c r="G54" s="3"/>
      <c r="H54" s="3"/>
      <c r="I54" s="3"/>
      <c r="J54" s="3" t="s">
        <v>249</v>
      </c>
      <c r="K54" s="3">
        <f>H56</f>
        <v>9119.9599999999991</v>
      </c>
      <c r="M54" s="3"/>
      <c r="N54" s="3"/>
      <c r="O54" s="3"/>
      <c r="P54" s="3" t="s">
        <v>249</v>
      </c>
      <c r="Q54" s="3">
        <f>N56</f>
        <v>6308.02</v>
      </c>
      <c r="S54" s="3"/>
      <c r="T54" s="3"/>
      <c r="U54" s="3"/>
      <c r="V54" s="3" t="s">
        <v>249</v>
      </c>
      <c r="W54" s="3">
        <f>T56</f>
        <v>21080.78</v>
      </c>
    </row>
    <row r="55" spans="1:23" x14ac:dyDescent="0.25">
      <c r="A55" s="3"/>
      <c r="B55" s="3"/>
      <c r="C55" s="3"/>
      <c r="D55" s="3" t="s">
        <v>250</v>
      </c>
      <c r="E55" s="3">
        <v>14997.775000000003</v>
      </c>
      <c r="G55" s="3"/>
      <c r="H55" s="3"/>
      <c r="I55" s="3"/>
      <c r="J55" s="3" t="s">
        <v>250</v>
      </c>
      <c r="K55" s="3">
        <v>12113.334210526313</v>
      </c>
      <c r="M55" s="3"/>
      <c r="N55" s="3"/>
      <c r="O55" s="3"/>
      <c r="P55" s="3" t="s">
        <v>250</v>
      </c>
      <c r="Q55" s="3">
        <v>6811.3964960346093</v>
      </c>
      <c r="S55" s="3"/>
      <c r="T55" s="3"/>
      <c r="U55" s="3"/>
      <c r="V55" s="3" t="s">
        <v>250</v>
      </c>
      <c r="W55" s="3">
        <v>31785.735526315788</v>
      </c>
    </row>
    <row r="56" spans="1:23" x14ac:dyDescent="0.25">
      <c r="A56" s="3" t="s">
        <v>249</v>
      </c>
      <c r="B56" s="3">
        <f>5436.85*2</f>
        <v>10873.7</v>
      </c>
      <c r="C56" s="3"/>
      <c r="D56" s="3" t="s">
        <v>251</v>
      </c>
      <c r="E56" s="3">
        <f>E54+E55</f>
        <v>25871.475000000006</v>
      </c>
      <c r="G56" s="3" t="s">
        <v>249</v>
      </c>
      <c r="H56" s="3">
        <f>4559.98*2</f>
        <v>9119.9599999999991</v>
      </c>
      <c r="I56" s="3"/>
      <c r="J56" s="3" t="s">
        <v>251</v>
      </c>
      <c r="K56" s="3">
        <f>K54+K55</f>
        <v>21233.294210526314</v>
      </c>
      <c r="M56" s="3" t="s">
        <v>249</v>
      </c>
      <c r="N56" s="3">
        <f>3154.01*2</f>
        <v>6308.02</v>
      </c>
      <c r="O56" s="3"/>
      <c r="P56" s="3" t="s">
        <v>251</v>
      </c>
      <c r="Q56" s="3">
        <f>Q54+Q55</f>
        <v>13119.41649603461</v>
      </c>
      <c r="S56" s="3" t="s">
        <v>249</v>
      </c>
      <c r="T56" s="3">
        <f>10540.39*2</f>
        <v>21080.78</v>
      </c>
      <c r="U56" s="3"/>
      <c r="V56" s="3" t="s">
        <v>251</v>
      </c>
      <c r="W56" s="3">
        <f>W54+W55</f>
        <v>52866.515526315787</v>
      </c>
    </row>
    <row r="57" spans="1:23" x14ac:dyDescent="0.25">
      <c r="A57" s="3" t="s">
        <v>252</v>
      </c>
      <c r="B57" s="3">
        <v>9614.67</v>
      </c>
      <c r="C57" s="3"/>
      <c r="D57" s="3" t="s">
        <v>252</v>
      </c>
      <c r="E57" s="3">
        <v>13381.48</v>
      </c>
      <c r="G57" s="3" t="s">
        <v>252</v>
      </c>
      <c r="H57" s="3">
        <v>5470.93</v>
      </c>
      <c r="I57" s="3"/>
      <c r="J57" s="3" t="s">
        <v>252</v>
      </c>
      <c r="K57" s="3">
        <v>13381.48</v>
      </c>
      <c r="M57" s="3" t="s">
        <v>252</v>
      </c>
      <c r="N57" s="3">
        <v>5470.93</v>
      </c>
      <c r="O57" s="3"/>
      <c r="P57" s="3" t="s">
        <v>252</v>
      </c>
      <c r="Q57" s="3">
        <v>11176.63</v>
      </c>
      <c r="S57" s="3" t="s">
        <v>252</v>
      </c>
      <c r="T57" s="3">
        <v>13381.48</v>
      </c>
      <c r="U57" s="3"/>
      <c r="V57" s="3" t="s">
        <v>252</v>
      </c>
      <c r="W57" s="3">
        <v>42537.59</v>
      </c>
    </row>
    <row r="58" spans="1:23" x14ac:dyDescent="0.25">
      <c r="A58" s="3" t="s">
        <v>253</v>
      </c>
      <c r="B58" s="3">
        <f>B56-B57</f>
        <v>1259.0300000000007</v>
      </c>
      <c r="C58" s="3"/>
      <c r="D58" s="3" t="s">
        <v>253</v>
      </c>
      <c r="E58" s="3">
        <f>(E56-E57)</f>
        <v>12489.995000000006</v>
      </c>
      <c r="G58" s="3" t="s">
        <v>253</v>
      </c>
      <c r="H58" s="3">
        <f>H56-H57</f>
        <v>3649.0299999999988</v>
      </c>
      <c r="I58" s="3"/>
      <c r="J58" s="3" t="s">
        <v>253</v>
      </c>
      <c r="K58" s="3">
        <f>(K56-K57)</f>
        <v>7851.8142105263141</v>
      </c>
      <c r="M58" s="3" t="s">
        <v>253</v>
      </c>
      <c r="N58" s="3">
        <f>N56-N57</f>
        <v>837.09000000000015</v>
      </c>
      <c r="O58" s="3"/>
      <c r="P58" s="3" t="s">
        <v>253</v>
      </c>
      <c r="Q58" s="3">
        <f>(Q56-Q57)</f>
        <v>1942.7864960346105</v>
      </c>
      <c r="S58" s="3" t="s">
        <v>253</v>
      </c>
      <c r="T58" s="3">
        <f>T56-T57</f>
        <v>7699.2999999999993</v>
      </c>
      <c r="U58" s="3"/>
      <c r="V58" s="3" t="s">
        <v>253</v>
      </c>
      <c r="W58" s="3">
        <f>(W56-W57)</f>
        <v>10328.92552631579</v>
      </c>
    </row>
    <row r="59" spans="1:23" x14ac:dyDescent="0.25">
      <c r="A59" s="3" t="s">
        <v>254</v>
      </c>
      <c r="B59" s="5">
        <v>0.16</v>
      </c>
      <c r="C59" s="3"/>
      <c r="D59" s="3" t="s">
        <v>254</v>
      </c>
      <c r="E59" s="5">
        <v>0.21360000000000001</v>
      </c>
      <c r="G59" s="3" t="s">
        <v>254</v>
      </c>
      <c r="H59" s="5">
        <v>0.10879999999999999</v>
      </c>
      <c r="I59" s="3"/>
      <c r="J59" s="3" t="s">
        <v>254</v>
      </c>
      <c r="K59" s="5">
        <v>0.21360000000000001</v>
      </c>
      <c r="M59" s="3" t="s">
        <v>254</v>
      </c>
      <c r="N59" s="5">
        <v>0.10879999999999999</v>
      </c>
      <c r="O59" s="3"/>
      <c r="P59" s="3" t="s">
        <v>254</v>
      </c>
      <c r="Q59" s="5">
        <v>0.1792</v>
      </c>
      <c r="S59" s="3" t="s">
        <v>254</v>
      </c>
      <c r="T59" s="5">
        <v>0.21360000000000001</v>
      </c>
      <c r="U59" s="3"/>
      <c r="V59" s="3" t="s">
        <v>254</v>
      </c>
      <c r="W59" s="5">
        <v>0.3</v>
      </c>
    </row>
    <row r="60" spans="1:23" x14ac:dyDescent="0.25">
      <c r="A60" s="3" t="s">
        <v>255</v>
      </c>
      <c r="B60" s="3">
        <f>B58*B59</f>
        <v>201.4448000000001</v>
      </c>
      <c r="C60" s="3"/>
      <c r="D60" s="3" t="s">
        <v>255</v>
      </c>
      <c r="E60" s="3">
        <f>(E58*E59)</f>
        <v>2667.8629320000014</v>
      </c>
      <c r="G60" s="3" t="s">
        <v>255</v>
      </c>
      <c r="H60" s="3">
        <f>H58*H59</f>
        <v>397.01446399999986</v>
      </c>
      <c r="I60" s="3"/>
      <c r="J60" s="3" t="s">
        <v>255</v>
      </c>
      <c r="K60" s="3">
        <f>(K58*K59)</f>
        <v>1677.1475153684207</v>
      </c>
      <c r="M60" s="3" t="s">
        <v>255</v>
      </c>
      <c r="N60" s="3">
        <f>N58*N59</f>
        <v>91.075392000000008</v>
      </c>
      <c r="O60" s="3"/>
      <c r="P60" s="3" t="s">
        <v>255</v>
      </c>
      <c r="Q60" s="3">
        <f>(Q58*Q59)</f>
        <v>348.14734008940218</v>
      </c>
      <c r="S60" s="3" t="s">
        <v>255</v>
      </c>
      <c r="T60" s="3">
        <f>T58*T59</f>
        <v>1644.5704799999999</v>
      </c>
      <c r="U60" s="3"/>
      <c r="V60" s="3" t="s">
        <v>255</v>
      </c>
      <c r="W60" s="3">
        <f>(W58*W59)</f>
        <v>3098.677657894737</v>
      </c>
    </row>
    <row r="61" spans="1:23" x14ac:dyDescent="0.25">
      <c r="A61" s="3" t="s">
        <v>256</v>
      </c>
      <c r="B61" s="3">
        <v>772.1</v>
      </c>
      <c r="C61" s="3"/>
      <c r="D61" s="3" t="s">
        <v>256</v>
      </c>
      <c r="E61" s="3">
        <v>1417.12</v>
      </c>
      <c r="G61" s="3" t="s">
        <v>256</v>
      </c>
      <c r="H61" s="3">
        <v>321.26</v>
      </c>
      <c r="I61" s="3"/>
      <c r="J61" s="3" t="s">
        <v>256</v>
      </c>
      <c r="K61" s="3">
        <v>1417.12</v>
      </c>
      <c r="M61" s="3" t="s">
        <v>256</v>
      </c>
      <c r="N61" s="3">
        <v>321.26</v>
      </c>
      <c r="O61" s="3"/>
      <c r="P61" s="3" t="s">
        <v>256</v>
      </c>
      <c r="Q61" s="3">
        <v>1022.01</v>
      </c>
      <c r="S61" s="3" t="s">
        <v>256</v>
      </c>
      <c r="T61" s="3">
        <v>1417.12</v>
      </c>
      <c r="U61" s="3"/>
      <c r="V61" s="3" t="s">
        <v>256</v>
      </c>
      <c r="W61" s="3">
        <v>7980.73</v>
      </c>
    </row>
    <row r="62" spans="1:23" x14ac:dyDescent="0.25">
      <c r="A62" s="3" t="s">
        <v>257</v>
      </c>
      <c r="B62" s="3">
        <f>B60+B61</f>
        <v>973.54480000000012</v>
      </c>
      <c r="C62" s="3"/>
      <c r="D62" s="3" t="s">
        <v>257</v>
      </c>
      <c r="E62" s="3">
        <f>(E60+E61)</f>
        <v>4084.9829320000013</v>
      </c>
      <c r="G62" s="3" t="s">
        <v>257</v>
      </c>
      <c r="H62" s="3">
        <f>H60+H61</f>
        <v>718.27446399999985</v>
      </c>
      <c r="I62" s="3"/>
      <c r="J62" s="3" t="s">
        <v>257</v>
      </c>
      <c r="K62" s="3">
        <f>(K60+K61)</f>
        <v>3094.2675153684204</v>
      </c>
      <c r="M62" s="3" t="s">
        <v>257</v>
      </c>
      <c r="N62" s="3">
        <f>N60+N61</f>
        <v>412.33539200000001</v>
      </c>
      <c r="O62" s="3"/>
      <c r="P62" s="3" t="s">
        <v>257</v>
      </c>
      <c r="Q62" s="3">
        <f>(Q60+Q61)</f>
        <v>1370.1573400894022</v>
      </c>
      <c r="S62" s="3" t="s">
        <v>257</v>
      </c>
      <c r="T62" s="3">
        <f>T60+T61</f>
        <v>3061.6904799999998</v>
      </c>
      <c r="U62" s="3"/>
      <c r="V62" s="3" t="s">
        <v>257</v>
      </c>
      <c r="W62" s="3">
        <f>(W60+W61)</f>
        <v>11079.407657894737</v>
      </c>
    </row>
    <row r="63" spans="1:23" x14ac:dyDescent="0.25">
      <c r="A63" s="3" t="s">
        <v>258</v>
      </c>
      <c r="B63" s="3"/>
      <c r="C63" s="3"/>
      <c r="D63" s="3" t="s">
        <v>258</v>
      </c>
      <c r="E63" s="3"/>
      <c r="G63" s="3" t="s">
        <v>258</v>
      </c>
      <c r="H63" s="3"/>
      <c r="I63" s="3"/>
      <c r="J63" s="3" t="s">
        <v>258</v>
      </c>
      <c r="K63" s="3"/>
      <c r="M63" s="3" t="s">
        <v>258</v>
      </c>
      <c r="N63" s="3"/>
      <c r="O63" s="3"/>
      <c r="P63" s="3" t="s">
        <v>258</v>
      </c>
      <c r="Q63" s="3"/>
      <c r="S63" s="3" t="s">
        <v>258</v>
      </c>
      <c r="T63" s="3"/>
      <c r="U63" s="3"/>
      <c r="V63" s="3" t="s">
        <v>258</v>
      </c>
      <c r="W63" s="3"/>
    </row>
    <row r="64" spans="1:23" x14ac:dyDescent="0.25">
      <c r="A64" s="3" t="s">
        <v>259</v>
      </c>
      <c r="B64" s="3">
        <f>(B62-B63)</f>
        <v>973.54480000000012</v>
      </c>
      <c r="C64" s="3"/>
      <c r="D64" s="3" t="s">
        <v>259</v>
      </c>
      <c r="E64" s="3">
        <f>(E62-E63)</f>
        <v>4084.9829320000013</v>
      </c>
      <c r="G64" s="3" t="s">
        <v>259</v>
      </c>
      <c r="H64" s="3">
        <f>(H62-H63)</f>
        <v>718.27446399999985</v>
      </c>
      <c r="I64" s="3"/>
      <c r="J64" s="3" t="s">
        <v>259</v>
      </c>
      <c r="K64" s="3">
        <f>(K62-K63)</f>
        <v>3094.2675153684204</v>
      </c>
      <c r="M64" s="3" t="s">
        <v>259</v>
      </c>
      <c r="N64" s="3">
        <f>(N62-N63)</f>
        <v>412.33539200000001</v>
      </c>
      <c r="O64" s="3"/>
      <c r="P64" s="3" t="s">
        <v>259</v>
      </c>
      <c r="Q64" s="3">
        <f>(Q62-Q63)</f>
        <v>1370.1573400894022</v>
      </c>
      <c r="S64" s="3" t="s">
        <v>259</v>
      </c>
      <c r="T64" s="3">
        <f>(T62-T63)</f>
        <v>3061.6904799999998</v>
      </c>
      <c r="U64" s="3"/>
      <c r="V64" s="3" t="s">
        <v>259</v>
      </c>
      <c r="W64" s="3">
        <f>(W62-W63)</f>
        <v>11079.407657894737</v>
      </c>
    </row>
    <row r="65" spans="1:23" x14ac:dyDescent="0.25">
      <c r="A65" s="3"/>
      <c r="B65" s="3"/>
      <c r="C65" s="3"/>
      <c r="D65" s="3"/>
      <c r="E65" s="3"/>
      <c r="G65" s="3"/>
      <c r="H65" s="3"/>
      <c r="I65" s="3"/>
      <c r="J65" s="3"/>
      <c r="K65" s="3"/>
      <c r="M65" s="3"/>
      <c r="N65" s="3"/>
      <c r="O65" s="3"/>
      <c r="P65" s="3"/>
      <c r="Q65" s="3"/>
      <c r="S65" s="3"/>
      <c r="T65" s="3"/>
      <c r="U65" s="3"/>
      <c r="V65" s="3"/>
      <c r="W65" s="3"/>
    </row>
    <row r="66" spans="1:23" x14ac:dyDescent="0.25">
      <c r="A66" s="3"/>
      <c r="B66" s="3"/>
      <c r="C66" s="3"/>
      <c r="D66" s="3" t="s">
        <v>260</v>
      </c>
      <c r="E66" s="3">
        <f>E64-B64</f>
        <v>3111.4381320000011</v>
      </c>
      <c r="G66" s="3"/>
      <c r="H66" s="3"/>
      <c r="I66" s="3"/>
      <c r="J66" s="3" t="s">
        <v>260</v>
      </c>
      <c r="K66" s="3">
        <f>K64-H64</f>
        <v>2375.9930513684203</v>
      </c>
      <c r="M66" s="3"/>
      <c r="N66" s="3"/>
      <c r="O66" s="3"/>
      <c r="P66" s="3" t="s">
        <v>260</v>
      </c>
      <c r="Q66" s="3">
        <f>Q64-N64</f>
        <v>957.82194808940221</v>
      </c>
      <c r="S66" s="3"/>
      <c r="T66" s="3"/>
      <c r="U66" s="3"/>
      <c r="V66" s="3" t="s">
        <v>260</v>
      </c>
      <c r="W66" s="3">
        <f>W64-T64</f>
        <v>8017.7171778947377</v>
      </c>
    </row>
    <row r="69" spans="1:23" ht="18.75" x14ac:dyDescent="0.3">
      <c r="A69" s="95" t="s">
        <v>283</v>
      </c>
      <c r="B69" s="96"/>
      <c r="C69" s="3"/>
      <c r="D69" s="96"/>
      <c r="E69" s="96"/>
      <c r="G69" s="95" t="s">
        <v>284</v>
      </c>
      <c r="H69" s="96"/>
      <c r="I69" s="3"/>
      <c r="J69" s="96"/>
      <c r="K69" s="96"/>
      <c r="M69" s="95" t="s">
        <v>285</v>
      </c>
      <c r="N69" s="96"/>
      <c r="O69" s="3"/>
      <c r="P69" s="96"/>
      <c r="Q69" s="96"/>
      <c r="S69" s="95" t="s">
        <v>286</v>
      </c>
      <c r="T69" s="96"/>
      <c r="U69" s="3"/>
      <c r="V69" s="96"/>
      <c r="W69" s="96"/>
    </row>
    <row r="70" spans="1:23" x14ac:dyDescent="0.25">
      <c r="A70" s="3"/>
      <c r="B70" s="3"/>
      <c r="C70" s="3"/>
      <c r="D70" s="3"/>
      <c r="E70" s="3"/>
      <c r="G70" s="3"/>
      <c r="H70" s="3"/>
      <c r="I70" s="3"/>
      <c r="J70" s="3"/>
      <c r="K70" s="3"/>
      <c r="M70" s="3"/>
      <c r="N70" s="3"/>
      <c r="O70" s="3"/>
      <c r="P70" s="3"/>
      <c r="Q70" s="3"/>
      <c r="S70" s="3"/>
      <c r="T70" s="3"/>
      <c r="U70" s="3"/>
      <c r="V70" s="3"/>
      <c r="W70" s="3"/>
    </row>
    <row r="71" spans="1:23" x14ac:dyDescent="0.25">
      <c r="A71" s="3"/>
      <c r="B71" s="3"/>
      <c r="C71" s="3"/>
      <c r="D71" s="3" t="s">
        <v>249</v>
      </c>
      <c r="E71" s="3">
        <f>B73</f>
        <v>14750</v>
      </c>
      <c r="G71" s="3"/>
      <c r="H71" s="3"/>
      <c r="I71" s="3"/>
      <c r="J71" s="3" t="s">
        <v>249</v>
      </c>
      <c r="K71" s="3">
        <f>H73</f>
        <v>13452</v>
      </c>
      <c r="M71" s="3"/>
      <c r="N71" s="3"/>
      <c r="O71" s="3"/>
      <c r="P71" s="3" t="s">
        <v>249</v>
      </c>
      <c r="Q71" s="3">
        <f>N73</f>
        <v>9814.16</v>
      </c>
      <c r="S71" s="3"/>
      <c r="T71" s="3"/>
      <c r="U71" s="3"/>
      <c r="V71" s="3" t="s">
        <v>249</v>
      </c>
      <c r="W71" s="3">
        <f>T73</f>
        <v>16720</v>
      </c>
    </row>
    <row r="72" spans="1:23" x14ac:dyDescent="0.25">
      <c r="A72" s="3"/>
      <c r="B72" s="3"/>
      <c r="C72" s="3"/>
      <c r="D72" s="3" t="s">
        <v>250</v>
      </c>
      <c r="E72" s="3">
        <v>21373.268421052635</v>
      </c>
      <c r="G72" s="3"/>
      <c r="H72" s="3"/>
      <c r="I72" s="3"/>
      <c r="J72" s="3" t="s">
        <v>250</v>
      </c>
      <c r="K72" s="3">
        <v>19238.400000000001</v>
      </c>
      <c r="M72" s="3"/>
      <c r="N72" s="3"/>
      <c r="O72" s="3"/>
      <c r="P72" s="3" t="s">
        <v>250</v>
      </c>
      <c r="Q72" s="3">
        <v>13255.11052631579</v>
      </c>
      <c r="S72" s="3"/>
      <c r="T72" s="3"/>
      <c r="U72" s="3"/>
      <c r="V72" s="3" t="s">
        <v>250</v>
      </c>
      <c r="W72" s="3">
        <v>24613.4</v>
      </c>
    </row>
    <row r="73" spans="1:23" x14ac:dyDescent="0.25">
      <c r="A73" s="3" t="s">
        <v>249</v>
      </c>
      <c r="B73" s="3">
        <f>7375*2</f>
        <v>14750</v>
      </c>
      <c r="C73" s="3"/>
      <c r="D73" s="3" t="s">
        <v>251</v>
      </c>
      <c r="E73" s="3">
        <f>E71+E72</f>
        <v>36123.268421052635</v>
      </c>
      <c r="G73" s="3" t="s">
        <v>249</v>
      </c>
      <c r="H73" s="3">
        <f>6726*2</f>
        <v>13452</v>
      </c>
      <c r="I73" s="3"/>
      <c r="J73" s="3" t="s">
        <v>251</v>
      </c>
      <c r="K73" s="3">
        <f>K71+K72</f>
        <v>32690.400000000001</v>
      </c>
      <c r="M73" s="3" t="s">
        <v>249</v>
      </c>
      <c r="N73" s="3">
        <f>4907.08*2</f>
        <v>9814.16</v>
      </c>
      <c r="O73" s="3"/>
      <c r="P73" s="3" t="s">
        <v>251</v>
      </c>
      <c r="Q73" s="3">
        <f>Q71+Q72</f>
        <v>23069.270526315791</v>
      </c>
      <c r="S73" s="3" t="s">
        <v>249</v>
      </c>
      <c r="T73" s="3">
        <f>8360*2</f>
        <v>16720</v>
      </c>
      <c r="U73" s="3"/>
      <c r="V73" s="3" t="s">
        <v>251</v>
      </c>
      <c r="W73" s="3">
        <f>W71+W72</f>
        <v>41333.4</v>
      </c>
    </row>
    <row r="74" spans="1:23" x14ac:dyDescent="0.25">
      <c r="A74" s="3" t="s">
        <v>252</v>
      </c>
      <c r="B74" s="3">
        <v>13381.48</v>
      </c>
      <c r="C74" s="3"/>
      <c r="D74" s="3" t="s">
        <v>252</v>
      </c>
      <c r="E74" s="3">
        <v>26988.51</v>
      </c>
      <c r="G74" s="3" t="s">
        <v>252</v>
      </c>
      <c r="H74" s="3">
        <v>13381.48</v>
      </c>
      <c r="I74" s="3"/>
      <c r="J74" s="3" t="s">
        <v>252</v>
      </c>
      <c r="K74" s="3">
        <v>26988.51</v>
      </c>
      <c r="M74" s="3" t="s">
        <v>252</v>
      </c>
      <c r="N74" s="3">
        <v>9614.67</v>
      </c>
      <c r="O74" s="3"/>
      <c r="P74" s="3" t="s">
        <v>252</v>
      </c>
      <c r="Q74" s="3">
        <v>13381.48</v>
      </c>
      <c r="S74" s="3" t="s">
        <v>252</v>
      </c>
      <c r="T74" s="3">
        <v>13381.48</v>
      </c>
      <c r="U74" s="3"/>
      <c r="V74" s="3" t="s">
        <v>252</v>
      </c>
      <c r="W74" s="3">
        <v>26988.51</v>
      </c>
    </row>
    <row r="75" spans="1:23" x14ac:dyDescent="0.25">
      <c r="A75" s="3" t="s">
        <v>253</v>
      </c>
      <c r="B75" s="3">
        <f>B73-B74</f>
        <v>1368.5200000000004</v>
      </c>
      <c r="C75" s="3"/>
      <c r="D75" s="3" t="s">
        <v>253</v>
      </c>
      <c r="E75" s="3">
        <f>(E73-E74)</f>
        <v>9134.7584210526365</v>
      </c>
      <c r="G75" s="3" t="s">
        <v>253</v>
      </c>
      <c r="H75" s="3">
        <f>H73-H74</f>
        <v>70.520000000000437</v>
      </c>
      <c r="I75" s="3"/>
      <c r="J75" s="3" t="s">
        <v>253</v>
      </c>
      <c r="K75" s="3">
        <f>(K73-K74)</f>
        <v>5701.8900000000031</v>
      </c>
      <c r="M75" s="3" t="s">
        <v>253</v>
      </c>
      <c r="N75" s="3">
        <f>N73-N74</f>
        <v>199.48999999999978</v>
      </c>
      <c r="O75" s="3"/>
      <c r="P75" s="3" t="s">
        <v>253</v>
      </c>
      <c r="Q75" s="3">
        <f>(Q73-Q74)</f>
        <v>9687.7905263157918</v>
      </c>
      <c r="S75" s="3" t="s">
        <v>253</v>
      </c>
      <c r="T75" s="3">
        <f>T73-T74</f>
        <v>3338.5200000000004</v>
      </c>
      <c r="U75" s="3"/>
      <c r="V75" s="3" t="s">
        <v>253</v>
      </c>
      <c r="W75" s="3">
        <f>(W73-W74)</f>
        <v>14344.890000000003</v>
      </c>
    </row>
    <row r="76" spans="1:23" x14ac:dyDescent="0.25">
      <c r="A76" s="3" t="s">
        <v>254</v>
      </c>
      <c r="B76" s="5">
        <v>0.21360000000000001</v>
      </c>
      <c r="C76" s="3"/>
      <c r="D76" s="3" t="s">
        <v>254</v>
      </c>
      <c r="E76" s="5">
        <v>0.23519999999999999</v>
      </c>
      <c r="G76" s="3" t="s">
        <v>254</v>
      </c>
      <c r="H76" s="5">
        <v>0.21360000000000001</v>
      </c>
      <c r="I76" s="3"/>
      <c r="J76" s="3" t="s">
        <v>254</v>
      </c>
      <c r="K76" s="5">
        <v>0.23519999999999999</v>
      </c>
      <c r="M76" s="3" t="s">
        <v>254</v>
      </c>
      <c r="N76" s="5">
        <v>0.16</v>
      </c>
      <c r="O76" s="3"/>
      <c r="P76" s="3" t="s">
        <v>254</v>
      </c>
      <c r="Q76" s="5">
        <v>0.21360000000000001</v>
      </c>
      <c r="S76" s="3" t="s">
        <v>254</v>
      </c>
      <c r="T76" s="5">
        <v>0.21360000000000001</v>
      </c>
      <c r="U76" s="3"/>
      <c r="V76" s="3" t="s">
        <v>254</v>
      </c>
      <c r="W76" s="5">
        <v>0.23519999999999999</v>
      </c>
    </row>
    <row r="77" spans="1:23" x14ac:dyDescent="0.25">
      <c r="A77" s="3" t="s">
        <v>255</v>
      </c>
      <c r="B77" s="3">
        <f>B75*B76</f>
        <v>292.31587200000013</v>
      </c>
      <c r="C77" s="3"/>
      <c r="D77" s="3" t="s">
        <v>255</v>
      </c>
      <c r="E77" s="3">
        <f>(E75*E76)</f>
        <v>2148.4951806315798</v>
      </c>
      <c r="G77" s="3" t="s">
        <v>255</v>
      </c>
      <c r="H77" s="3">
        <f>H75*H76</f>
        <v>15.063072000000094</v>
      </c>
      <c r="I77" s="3"/>
      <c r="J77" s="3" t="s">
        <v>255</v>
      </c>
      <c r="K77" s="3">
        <f>(K75*K76)</f>
        <v>1341.0845280000008</v>
      </c>
      <c r="M77" s="3" t="s">
        <v>255</v>
      </c>
      <c r="N77" s="3">
        <f>N75*N76</f>
        <v>31.918399999999966</v>
      </c>
      <c r="O77" s="3"/>
      <c r="P77" s="3" t="s">
        <v>255</v>
      </c>
      <c r="Q77" s="3">
        <f>(Q75*Q76)</f>
        <v>2069.3120564210531</v>
      </c>
      <c r="S77" s="3" t="s">
        <v>255</v>
      </c>
      <c r="T77" s="3">
        <f>T75*T76</f>
        <v>713.10787200000016</v>
      </c>
      <c r="U77" s="3"/>
      <c r="V77" s="3" t="s">
        <v>255</v>
      </c>
      <c r="W77" s="3">
        <f>(W75*W76)</f>
        <v>3373.9181280000007</v>
      </c>
    </row>
    <row r="78" spans="1:23" x14ac:dyDescent="0.25">
      <c r="A78" s="3" t="s">
        <v>256</v>
      </c>
      <c r="B78" s="3">
        <v>1417.12</v>
      </c>
      <c r="C78" s="3"/>
      <c r="D78" s="3" t="s">
        <v>256</v>
      </c>
      <c r="E78" s="3">
        <v>4323.58</v>
      </c>
      <c r="G78" s="3" t="s">
        <v>256</v>
      </c>
      <c r="H78" s="3">
        <v>1417.12</v>
      </c>
      <c r="I78" s="3"/>
      <c r="J78" s="3" t="s">
        <v>256</v>
      </c>
      <c r="K78" s="3">
        <v>4323.58</v>
      </c>
      <c r="M78" s="3" t="s">
        <v>256</v>
      </c>
      <c r="N78" s="3">
        <v>772.1</v>
      </c>
      <c r="O78" s="3"/>
      <c r="P78" s="3" t="s">
        <v>256</v>
      </c>
      <c r="Q78" s="3">
        <v>1417.12</v>
      </c>
      <c r="S78" s="3" t="s">
        <v>256</v>
      </c>
      <c r="T78" s="3">
        <v>1417.12</v>
      </c>
      <c r="U78" s="3"/>
      <c r="V78" s="3" t="s">
        <v>256</v>
      </c>
      <c r="W78" s="3">
        <v>4323.58</v>
      </c>
    </row>
    <row r="79" spans="1:23" x14ac:dyDescent="0.25">
      <c r="A79" s="3" t="s">
        <v>257</v>
      </c>
      <c r="B79" s="3">
        <f>B77+B78</f>
        <v>1709.435872</v>
      </c>
      <c r="C79" s="3"/>
      <c r="D79" s="3" t="s">
        <v>257</v>
      </c>
      <c r="E79" s="3">
        <f>(E77+E78)</f>
        <v>6472.0751806315802</v>
      </c>
      <c r="G79" s="3" t="s">
        <v>257</v>
      </c>
      <c r="H79" s="3">
        <f>H77+H78</f>
        <v>1432.183072</v>
      </c>
      <c r="I79" s="3"/>
      <c r="J79" s="3" t="s">
        <v>257</v>
      </c>
      <c r="K79" s="3">
        <f>(K77+K78)</f>
        <v>5664.6645280000012</v>
      </c>
      <c r="M79" s="3" t="s">
        <v>257</v>
      </c>
      <c r="N79" s="3">
        <f>N77+N78</f>
        <v>804.01840000000004</v>
      </c>
      <c r="O79" s="3"/>
      <c r="P79" s="3" t="s">
        <v>257</v>
      </c>
      <c r="Q79" s="3">
        <f>(Q77+Q78)</f>
        <v>3486.4320564210529</v>
      </c>
      <c r="S79" s="3" t="s">
        <v>257</v>
      </c>
      <c r="T79" s="3">
        <f>T77+T78</f>
        <v>2130.2278719999999</v>
      </c>
      <c r="U79" s="3"/>
      <c r="V79" s="3" t="s">
        <v>257</v>
      </c>
      <c r="W79" s="3">
        <f>(W77+W78)</f>
        <v>7697.4981280000011</v>
      </c>
    </row>
    <row r="80" spans="1:23" x14ac:dyDescent="0.25">
      <c r="A80" s="3" t="s">
        <v>258</v>
      </c>
      <c r="B80" s="3"/>
      <c r="C80" s="3"/>
      <c r="D80" s="3" t="s">
        <v>258</v>
      </c>
      <c r="E80" s="3"/>
      <c r="G80" s="3" t="s">
        <v>258</v>
      </c>
      <c r="H80" s="3"/>
      <c r="I80" s="3"/>
      <c r="J80" s="3" t="s">
        <v>258</v>
      </c>
      <c r="K80" s="3"/>
      <c r="M80" s="3" t="s">
        <v>258</v>
      </c>
      <c r="N80" s="3"/>
      <c r="O80" s="3"/>
      <c r="P80" s="3" t="s">
        <v>258</v>
      </c>
      <c r="Q80" s="3"/>
      <c r="S80" s="3" t="s">
        <v>258</v>
      </c>
      <c r="T80" s="3"/>
      <c r="U80" s="3"/>
      <c r="V80" s="3" t="s">
        <v>258</v>
      </c>
      <c r="W80" s="3"/>
    </row>
    <row r="81" spans="1:23" x14ac:dyDescent="0.25">
      <c r="A81" s="3" t="s">
        <v>259</v>
      </c>
      <c r="B81" s="3">
        <f>(B79-B80)</f>
        <v>1709.435872</v>
      </c>
      <c r="C81" s="3"/>
      <c r="D81" s="3" t="s">
        <v>259</v>
      </c>
      <c r="E81" s="3">
        <f>(E79-E80)</f>
        <v>6472.0751806315802</v>
      </c>
      <c r="G81" s="3" t="s">
        <v>259</v>
      </c>
      <c r="H81" s="3">
        <f>(H79-H80)</f>
        <v>1432.183072</v>
      </c>
      <c r="I81" s="3"/>
      <c r="J81" s="3" t="s">
        <v>259</v>
      </c>
      <c r="K81" s="3">
        <f>(K79-K80)</f>
        <v>5664.6645280000012</v>
      </c>
      <c r="M81" s="3" t="s">
        <v>259</v>
      </c>
      <c r="N81" s="3">
        <f>(N79-N80)</f>
        <v>804.01840000000004</v>
      </c>
      <c r="O81" s="3"/>
      <c r="P81" s="3" t="s">
        <v>259</v>
      </c>
      <c r="Q81" s="3">
        <f>(Q79-Q80)</f>
        <v>3486.4320564210529</v>
      </c>
      <c r="S81" s="3" t="s">
        <v>259</v>
      </c>
      <c r="T81" s="3">
        <f>(T79-T80)</f>
        <v>2130.2278719999999</v>
      </c>
      <c r="U81" s="3"/>
      <c r="V81" s="3" t="s">
        <v>259</v>
      </c>
      <c r="W81" s="3">
        <f>(W79-W80)</f>
        <v>7697.4981280000011</v>
      </c>
    </row>
    <row r="82" spans="1:23" x14ac:dyDescent="0.25">
      <c r="A82" s="3"/>
      <c r="B82" s="3"/>
      <c r="C82" s="3"/>
      <c r="D82" s="3"/>
      <c r="E82" s="3"/>
      <c r="G82" s="3"/>
      <c r="H82" s="3"/>
      <c r="I82" s="3"/>
      <c r="J82" s="3"/>
      <c r="K82" s="3"/>
      <c r="M82" s="3"/>
      <c r="N82" s="3"/>
      <c r="O82" s="3"/>
      <c r="P82" s="3"/>
      <c r="Q82" s="3"/>
      <c r="S82" s="3"/>
      <c r="T82" s="3"/>
      <c r="U82" s="3"/>
      <c r="V82" s="3"/>
      <c r="W82" s="3"/>
    </row>
    <row r="83" spans="1:23" x14ac:dyDescent="0.25">
      <c r="A83" s="3"/>
      <c r="B83" s="3"/>
      <c r="C83" s="3"/>
      <c r="D83" s="3" t="s">
        <v>260</v>
      </c>
      <c r="E83" s="3">
        <f>E81-B81</f>
        <v>4762.6393086315802</v>
      </c>
      <c r="G83" s="3"/>
      <c r="H83" s="3"/>
      <c r="I83" s="3"/>
      <c r="J83" s="3" t="s">
        <v>260</v>
      </c>
      <c r="K83" s="3">
        <f>K81-H81</f>
        <v>4232.4814560000013</v>
      </c>
      <c r="M83" s="3"/>
      <c r="N83" s="3"/>
      <c r="O83" s="3"/>
      <c r="P83" s="3" t="s">
        <v>260</v>
      </c>
      <c r="Q83" s="3">
        <f>Q81-N81</f>
        <v>2682.413656421053</v>
      </c>
      <c r="S83" s="3"/>
      <c r="T83" s="3"/>
      <c r="U83" s="3"/>
      <c r="V83" s="3" t="s">
        <v>260</v>
      </c>
      <c r="W83" s="3">
        <f>W81-T81</f>
        <v>5567.2702560000016</v>
      </c>
    </row>
    <row r="86" spans="1:23" ht="18.75" x14ac:dyDescent="0.3">
      <c r="A86" s="95" t="s">
        <v>287</v>
      </c>
      <c r="B86" s="96"/>
      <c r="C86" s="3"/>
      <c r="D86" s="96"/>
      <c r="E86" s="96"/>
      <c r="G86" s="95" t="s">
        <v>288</v>
      </c>
      <c r="H86" s="96"/>
      <c r="I86" s="3"/>
      <c r="J86" s="96"/>
      <c r="K86" s="96"/>
      <c r="M86" s="95" t="s">
        <v>289</v>
      </c>
      <c r="N86" s="96"/>
      <c r="O86" s="3"/>
      <c r="P86" s="96"/>
      <c r="Q86" s="96"/>
      <c r="S86" s="95" t="s">
        <v>290</v>
      </c>
      <c r="T86" s="96"/>
      <c r="U86" s="3"/>
      <c r="V86" s="96"/>
      <c r="W86" s="96"/>
    </row>
    <row r="87" spans="1:23" x14ac:dyDescent="0.25">
      <c r="A87" s="3"/>
      <c r="B87" s="3"/>
      <c r="C87" s="3"/>
      <c r="D87" s="3"/>
      <c r="E87" s="3"/>
      <c r="G87" s="3"/>
      <c r="H87" s="3"/>
      <c r="I87" s="3"/>
      <c r="J87" s="3"/>
      <c r="K87" s="3"/>
      <c r="M87" s="3"/>
      <c r="N87" s="3"/>
      <c r="O87" s="3"/>
      <c r="P87" s="3"/>
      <c r="Q87" s="3"/>
      <c r="S87" s="3"/>
      <c r="T87" s="3"/>
      <c r="U87" s="3"/>
      <c r="V87" s="3"/>
      <c r="W87" s="3"/>
    </row>
    <row r="88" spans="1:23" x14ac:dyDescent="0.25">
      <c r="A88" s="3"/>
      <c r="B88" s="3"/>
      <c r="C88" s="3"/>
      <c r="D88" s="3" t="s">
        <v>249</v>
      </c>
      <c r="E88" s="3">
        <f>B90</f>
        <v>8208.84</v>
      </c>
      <c r="G88" s="3"/>
      <c r="H88" s="3"/>
      <c r="I88" s="3"/>
      <c r="J88" s="3" t="s">
        <v>249</v>
      </c>
      <c r="K88" s="3">
        <f>H90</f>
        <v>15142</v>
      </c>
      <c r="M88" s="3"/>
      <c r="N88" s="3"/>
      <c r="O88" s="3"/>
      <c r="P88" s="3" t="s">
        <v>249</v>
      </c>
      <c r="Q88" s="3">
        <f>N90</f>
        <v>12222.36</v>
      </c>
      <c r="S88" s="3"/>
      <c r="T88" s="3"/>
      <c r="U88" s="3"/>
      <c r="V88" s="3" t="s">
        <v>249</v>
      </c>
      <c r="W88" s="3">
        <f>T90</f>
        <v>12222.36</v>
      </c>
    </row>
    <row r="89" spans="1:23" x14ac:dyDescent="0.25">
      <c r="A89" s="3"/>
      <c r="B89" s="3"/>
      <c r="C89" s="3"/>
      <c r="D89" s="3" t="s">
        <v>250</v>
      </c>
      <c r="E89" s="3">
        <v>10614.781578947368</v>
      </c>
      <c r="G89" s="3"/>
      <c r="H89" s="3"/>
      <c r="I89" s="3"/>
      <c r="J89" s="3" t="s">
        <v>250</v>
      </c>
      <c r="K89" s="3">
        <v>22018.005263157898</v>
      </c>
      <c r="M89" s="3"/>
      <c r="N89" s="3"/>
      <c r="O89" s="3"/>
      <c r="P89" s="3" t="s">
        <v>250</v>
      </c>
      <c r="Q89" s="3">
        <v>17215.965789473688</v>
      </c>
      <c r="S89" s="3"/>
      <c r="T89" s="3"/>
      <c r="U89" s="3"/>
      <c r="V89" s="3" t="s">
        <v>250</v>
      </c>
      <c r="W89" s="3">
        <v>17215.965789473688</v>
      </c>
    </row>
    <row r="90" spans="1:23" x14ac:dyDescent="0.25">
      <c r="A90" s="3" t="s">
        <v>249</v>
      </c>
      <c r="B90" s="3">
        <f>4104.42*2</f>
        <v>8208.84</v>
      </c>
      <c r="C90" s="3"/>
      <c r="D90" s="3" t="s">
        <v>251</v>
      </c>
      <c r="E90" s="3">
        <f>E88+E89</f>
        <v>18823.621578947368</v>
      </c>
      <c r="G90" s="3" t="s">
        <v>249</v>
      </c>
      <c r="H90" s="3">
        <f>7571*2</f>
        <v>15142</v>
      </c>
      <c r="I90" s="3"/>
      <c r="J90" s="3" t="s">
        <v>251</v>
      </c>
      <c r="K90" s="3">
        <f>K88+K89</f>
        <v>37160.005263157902</v>
      </c>
      <c r="M90" s="3" t="s">
        <v>249</v>
      </c>
      <c r="N90" s="3">
        <f>6111.18*2</f>
        <v>12222.36</v>
      </c>
      <c r="O90" s="3"/>
      <c r="P90" s="3" t="s">
        <v>251</v>
      </c>
      <c r="Q90" s="3">
        <f>Q88+Q89</f>
        <v>29438.325789473689</v>
      </c>
      <c r="S90" s="3" t="s">
        <v>249</v>
      </c>
      <c r="T90" s="3">
        <f>6111.18*2</f>
        <v>12222.36</v>
      </c>
      <c r="U90" s="3"/>
      <c r="V90" s="3" t="s">
        <v>251</v>
      </c>
      <c r="W90" s="3">
        <f>W88+W89</f>
        <v>29438.325789473689</v>
      </c>
    </row>
    <row r="91" spans="1:23" x14ac:dyDescent="0.25">
      <c r="A91" s="3" t="s">
        <v>252</v>
      </c>
      <c r="B91" s="3">
        <v>5470.93</v>
      </c>
      <c r="C91" s="3"/>
      <c r="D91" s="3" t="s">
        <v>252</v>
      </c>
      <c r="E91" s="3">
        <v>13381.48</v>
      </c>
      <c r="G91" s="3" t="s">
        <v>252</v>
      </c>
      <c r="H91" s="3">
        <v>13381.48</v>
      </c>
      <c r="I91" s="3"/>
      <c r="J91" s="3" t="s">
        <v>252</v>
      </c>
      <c r="K91" s="3">
        <v>26988.51</v>
      </c>
      <c r="M91" s="3" t="s">
        <v>252</v>
      </c>
      <c r="N91" s="3">
        <v>11176.63</v>
      </c>
      <c r="O91" s="3"/>
      <c r="P91" s="3" t="s">
        <v>252</v>
      </c>
      <c r="Q91" s="3">
        <v>26988.51</v>
      </c>
      <c r="S91" s="3" t="s">
        <v>252</v>
      </c>
      <c r="T91" s="3">
        <v>11176.63</v>
      </c>
      <c r="U91" s="3"/>
      <c r="V91" s="3" t="s">
        <v>252</v>
      </c>
      <c r="W91" s="3">
        <v>26988.51</v>
      </c>
    </row>
    <row r="92" spans="1:23" x14ac:dyDescent="0.25">
      <c r="A92" s="3" t="s">
        <v>253</v>
      </c>
      <c r="B92" s="3">
        <f>B90-B91</f>
        <v>2737.91</v>
      </c>
      <c r="C92" s="3"/>
      <c r="D92" s="3" t="s">
        <v>253</v>
      </c>
      <c r="E92" s="3">
        <f>(E90-E91)</f>
        <v>5442.1415789473685</v>
      </c>
      <c r="G92" s="3" t="s">
        <v>253</v>
      </c>
      <c r="H92" s="3">
        <f>H90-H91</f>
        <v>1760.5200000000004</v>
      </c>
      <c r="I92" s="3"/>
      <c r="J92" s="3" t="s">
        <v>253</v>
      </c>
      <c r="K92" s="3">
        <f>(K90-K91)</f>
        <v>10171.495263157904</v>
      </c>
      <c r="M92" s="3" t="s">
        <v>253</v>
      </c>
      <c r="N92" s="3">
        <f>N90-N91</f>
        <v>1045.7300000000014</v>
      </c>
      <c r="O92" s="3"/>
      <c r="P92" s="3" t="s">
        <v>253</v>
      </c>
      <c r="Q92" s="3">
        <f>(Q90-Q91)</f>
        <v>2449.8157894736905</v>
      </c>
      <c r="S92" s="3" t="s">
        <v>253</v>
      </c>
      <c r="T92" s="3">
        <f>T90-T91</f>
        <v>1045.7300000000014</v>
      </c>
      <c r="U92" s="3"/>
      <c r="V92" s="3" t="s">
        <v>253</v>
      </c>
      <c r="W92" s="3">
        <f>(W90-W91)</f>
        <v>2449.8157894736905</v>
      </c>
    </row>
    <row r="93" spans="1:23" x14ac:dyDescent="0.25">
      <c r="A93" s="3" t="s">
        <v>254</v>
      </c>
      <c r="B93" s="5">
        <v>0.10879999999999999</v>
      </c>
      <c r="C93" s="3"/>
      <c r="D93" s="3" t="s">
        <v>254</v>
      </c>
      <c r="E93" s="5">
        <v>0.21360000000000001</v>
      </c>
      <c r="G93" s="3" t="s">
        <v>254</v>
      </c>
      <c r="H93" s="5">
        <v>0.21360000000000001</v>
      </c>
      <c r="I93" s="3"/>
      <c r="J93" s="3" t="s">
        <v>254</v>
      </c>
      <c r="K93" s="5">
        <v>0.23519999999999999</v>
      </c>
      <c r="M93" s="3" t="s">
        <v>254</v>
      </c>
      <c r="N93" s="5">
        <v>0.1792</v>
      </c>
      <c r="O93" s="3"/>
      <c r="P93" s="3" t="s">
        <v>254</v>
      </c>
      <c r="Q93" s="5">
        <v>0.23519999999999999</v>
      </c>
      <c r="S93" s="3" t="s">
        <v>254</v>
      </c>
      <c r="T93" s="5">
        <v>0.1792</v>
      </c>
      <c r="U93" s="3"/>
      <c r="V93" s="3" t="s">
        <v>254</v>
      </c>
      <c r="W93" s="5">
        <v>0.23519999999999999</v>
      </c>
    </row>
    <row r="94" spans="1:23" x14ac:dyDescent="0.25">
      <c r="A94" s="3" t="s">
        <v>255</v>
      </c>
      <c r="B94" s="3">
        <f>B92*B93</f>
        <v>297.88460799999996</v>
      </c>
      <c r="C94" s="3"/>
      <c r="D94" s="3" t="s">
        <v>255</v>
      </c>
      <c r="E94" s="3">
        <f>(E92*E93)</f>
        <v>1162.4414412631579</v>
      </c>
      <c r="G94" s="3" t="s">
        <v>255</v>
      </c>
      <c r="H94" s="3">
        <f>H92*H93</f>
        <v>376.04707200000013</v>
      </c>
      <c r="I94" s="3"/>
      <c r="J94" s="3" t="s">
        <v>255</v>
      </c>
      <c r="K94" s="3">
        <f>(K92*K93)</f>
        <v>2392.3356858947386</v>
      </c>
      <c r="M94" s="3" t="s">
        <v>255</v>
      </c>
      <c r="N94" s="3">
        <f>N92*N93</f>
        <v>187.39481600000025</v>
      </c>
      <c r="O94" s="3"/>
      <c r="P94" s="3" t="s">
        <v>255</v>
      </c>
      <c r="Q94" s="3">
        <f>(Q92*Q93)</f>
        <v>576.19667368421199</v>
      </c>
      <c r="S94" s="3" t="s">
        <v>255</v>
      </c>
      <c r="T94" s="3">
        <f>T92*T93</f>
        <v>187.39481600000025</v>
      </c>
      <c r="U94" s="3"/>
      <c r="V94" s="3" t="s">
        <v>255</v>
      </c>
      <c r="W94" s="3">
        <f>(W92*W93)</f>
        <v>576.19667368421199</v>
      </c>
    </row>
    <row r="95" spans="1:23" x14ac:dyDescent="0.25">
      <c r="A95" s="3" t="s">
        <v>256</v>
      </c>
      <c r="B95" s="3">
        <v>321.26</v>
      </c>
      <c r="C95" s="3"/>
      <c r="D95" s="3" t="s">
        <v>256</v>
      </c>
      <c r="E95" s="3">
        <v>1471.12</v>
      </c>
      <c r="G95" s="3" t="s">
        <v>256</v>
      </c>
      <c r="H95" s="3">
        <v>1471.12</v>
      </c>
      <c r="I95" s="3"/>
      <c r="J95" s="3" t="s">
        <v>256</v>
      </c>
      <c r="K95" s="3">
        <v>4323.58</v>
      </c>
      <c r="M95" s="3" t="s">
        <v>256</v>
      </c>
      <c r="N95" s="3">
        <v>1022.01</v>
      </c>
      <c r="O95" s="3"/>
      <c r="P95" s="3" t="s">
        <v>256</v>
      </c>
      <c r="Q95" s="3">
        <v>4323.58</v>
      </c>
      <c r="S95" s="3" t="s">
        <v>256</v>
      </c>
      <c r="T95" s="3">
        <v>1022.01</v>
      </c>
      <c r="U95" s="3"/>
      <c r="V95" s="3" t="s">
        <v>256</v>
      </c>
      <c r="W95" s="3">
        <v>4323.58</v>
      </c>
    </row>
    <row r="96" spans="1:23" x14ac:dyDescent="0.25">
      <c r="A96" s="3" t="s">
        <v>257</v>
      </c>
      <c r="B96" s="3">
        <f>B94+B95</f>
        <v>619.14460799999995</v>
      </c>
      <c r="C96" s="3"/>
      <c r="D96" s="3" t="s">
        <v>257</v>
      </c>
      <c r="E96" s="3">
        <f>(E94+E95)</f>
        <v>2633.5614412631576</v>
      </c>
      <c r="G96" s="3" t="s">
        <v>257</v>
      </c>
      <c r="H96" s="3">
        <f>H94+H95</f>
        <v>1847.167072</v>
      </c>
      <c r="I96" s="3"/>
      <c r="J96" s="3" t="s">
        <v>257</v>
      </c>
      <c r="K96" s="3">
        <f>(K94+K95)</f>
        <v>6715.915685894739</v>
      </c>
      <c r="M96" s="3" t="s">
        <v>257</v>
      </c>
      <c r="N96" s="3">
        <f>N94+N95</f>
        <v>1209.4048160000002</v>
      </c>
      <c r="O96" s="3"/>
      <c r="P96" s="3" t="s">
        <v>257</v>
      </c>
      <c r="Q96" s="3">
        <f>(Q94+Q95)</f>
        <v>4899.7766736842123</v>
      </c>
      <c r="S96" s="3" t="s">
        <v>257</v>
      </c>
      <c r="T96" s="3">
        <f>T94+T95</f>
        <v>1209.4048160000002</v>
      </c>
      <c r="U96" s="3"/>
      <c r="V96" s="3" t="s">
        <v>257</v>
      </c>
      <c r="W96" s="3">
        <f>(W94+W95)</f>
        <v>4899.7766736842123</v>
      </c>
    </row>
    <row r="97" spans="1:23" x14ac:dyDescent="0.25">
      <c r="A97" s="3" t="s">
        <v>258</v>
      </c>
      <c r="B97" s="3"/>
      <c r="C97" s="3"/>
      <c r="D97" s="3" t="s">
        <v>258</v>
      </c>
      <c r="E97" s="3"/>
      <c r="G97" s="3" t="s">
        <v>258</v>
      </c>
      <c r="H97" s="3"/>
      <c r="I97" s="3"/>
      <c r="J97" s="3" t="s">
        <v>258</v>
      </c>
      <c r="K97" s="3"/>
      <c r="M97" s="3" t="s">
        <v>258</v>
      </c>
      <c r="N97" s="3"/>
      <c r="O97" s="3"/>
      <c r="P97" s="3" t="s">
        <v>258</v>
      </c>
      <c r="Q97" s="3"/>
      <c r="S97" s="3" t="s">
        <v>258</v>
      </c>
      <c r="T97" s="3"/>
      <c r="U97" s="3"/>
      <c r="V97" s="3" t="s">
        <v>258</v>
      </c>
      <c r="W97" s="3"/>
    </row>
    <row r="98" spans="1:23" x14ac:dyDescent="0.25">
      <c r="A98" s="3" t="s">
        <v>259</v>
      </c>
      <c r="B98" s="3">
        <f>(B96-B97)</f>
        <v>619.14460799999995</v>
      </c>
      <c r="C98" s="3"/>
      <c r="D98" s="3" t="s">
        <v>259</v>
      </c>
      <c r="E98" s="3">
        <f>(E96-E97)</f>
        <v>2633.5614412631576</v>
      </c>
      <c r="G98" s="3" t="s">
        <v>259</v>
      </c>
      <c r="H98" s="3">
        <f>(H96-H97)</f>
        <v>1847.167072</v>
      </c>
      <c r="I98" s="3"/>
      <c r="J98" s="3" t="s">
        <v>259</v>
      </c>
      <c r="K98" s="3">
        <f>(K96-K97)</f>
        <v>6715.915685894739</v>
      </c>
      <c r="M98" s="3" t="s">
        <v>259</v>
      </c>
      <c r="N98" s="3">
        <f>(N96-N97)</f>
        <v>1209.4048160000002</v>
      </c>
      <c r="O98" s="3"/>
      <c r="P98" s="3" t="s">
        <v>259</v>
      </c>
      <c r="Q98" s="3">
        <f>(Q96-Q97)</f>
        <v>4899.7766736842123</v>
      </c>
      <c r="S98" s="3" t="s">
        <v>259</v>
      </c>
      <c r="T98" s="3">
        <f>(T96-T97)</f>
        <v>1209.4048160000002</v>
      </c>
      <c r="U98" s="3"/>
      <c r="V98" s="3" t="s">
        <v>259</v>
      </c>
      <c r="W98" s="3">
        <f>(W96-W97)</f>
        <v>4899.7766736842123</v>
      </c>
    </row>
    <row r="99" spans="1:23" x14ac:dyDescent="0.25">
      <c r="A99" s="3"/>
      <c r="B99" s="3"/>
      <c r="C99" s="3"/>
      <c r="D99" s="3"/>
      <c r="E99" s="3"/>
      <c r="G99" s="3"/>
      <c r="H99" s="3"/>
      <c r="I99" s="3"/>
      <c r="J99" s="3"/>
      <c r="K99" s="3"/>
      <c r="M99" s="3"/>
      <c r="N99" s="3"/>
      <c r="O99" s="3"/>
      <c r="P99" s="3"/>
      <c r="Q99" s="3"/>
      <c r="S99" s="3"/>
      <c r="T99" s="3"/>
      <c r="U99" s="3"/>
      <c r="V99" s="3"/>
      <c r="W99" s="3"/>
    </row>
    <row r="100" spans="1:23" x14ac:dyDescent="0.25">
      <c r="A100" s="3"/>
      <c r="B100" s="3"/>
      <c r="C100" s="3"/>
      <c r="D100" s="3" t="s">
        <v>260</v>
      </c>
      <c r="E100" s="3">
        <f>E98-B98</f>
        <v>2014.4168332631575</v>
      </c>
      <c r="G100" s="3"/>
      <c r="H100" s="3"/>
      <c r="I100" s="3"/>
      <c r="J100" s="3" t="s">
        <v>260</v>
      </c>
      <c r="K100" s="3">
        <f>K98-H98</f>
        <v>4868.7486138947388</v>
      </c>
      <c r="M100" s="3"/>
      <c r="N100" s="3"/>
      <c r="O100" s="3"/>
      <c r="P100" s="3" t="s">
        <v>260</v>
      </c>
      <c r="Q100" s="3">
        <f>Q98-N98</f>
        <v>3690.371857684212</v>
      </c>
      <c r="S100" s="3"/>
      <c r="T100" s="3"/>
      <c r="U100" s="3"/>
      <c r="V100" s="3" t="s">
        <v>260</v>
      </c>
      <c r="W100" s="3">
        <f>W98-T98</f>
        <v>3690.371857684212</v>
      </c>
    </row>
    <row r="103" spans="1:23" ht="18.75" x14ac:dyDescent="0.3">
      <c r="A103" s="95" t="s">
        <v>291</v>
      </c>
      <c r="B103" s="96"/>
      <c r="C103" s="3"/>
      <c r="D103" s="96"/>
      <c r="E103" s="96"/>
      <c r="G103" s="95" t="s">
        <v>292</v>
      </c>
      <c r="H103" s="96"/>
      <c r="I103" s="3"/>
      <c r="J103" s="96"/>
      <c r="K103" s="96"/>
      <c r="M103" s="95" t="s">
        <v>293</v>
      </c>
      <c r="N103" s="96"/>
      <c r="O103" s="3"/>
      <c r="P103" s="96"/>
      <c r="Q103" s="96"/>
    </row>
    <row r="104" spans="1:23" x14ac:dyDescent="0.25">
      <c r="A104" s="3"/>
      <c r="B104" s="3"/>
      <c r="C104" s="3"/>
      <c r="D104" s="3"/>
      <c r="E104" s="3"/>
      <c r="G104" s="3"/>
      <c r="H104" s="3"/>
      <c r="I104" s="3"/>
      <c r="J104" s="3"/>
      <c r="K104" s="3"/>
      <c r="M104" s="3"/>
      <c r="N104" s="3"/>
      <c r="O104" s="3"/>
      <c r="P104" s="3"/>
      <c r="Q104" s="3"/>
    </row>
    <row r="105" spans="1:23" x14ac:dyDescent="0.25">
      <c r="A105" s="3"/>
      <c r="B105" s="3"/>
      <c r="C105" s="3"/>
      <c r="D105" s="3" t="s">
        <v>249</v>
      </c>
      <c r="E105" s="3">
        <f>B107</f>
        <v>9814.16</v>
      </c>
      <c r="G105" s="3"/>
      <c r="H105" s="3"/>
      <c r="I105" s="3"/>
      <c r="J105" s="3" t="s">
        <v>249</v>
      </c>
      <c r="K105" s="3">
        <f>H107</f>
        <v>5186.1000000000004</v>
      </c>
      <c r="M105" s="3"/>
      <c r="N105" s="3"/>
      <c r="O105" s="3"/>
      <c r="P105" s="3" t="s">
        <v>249</v>
      </c>
      <c r="Q105" s="3">
        <f>N107</f>
        <v>15485.66</v>
      </c>
    </row>
    <row r="106" spans="1:23" x14ac:dyDescent="0.25">
      <c r="A106" s="3"/>
      <c r="B106" s="3"/>
      <c r="C106" s="3"/>
      <c r="D106" s="3" t="s">
        <v>250</v>
      </c>
      <c r="E106" s="3">
        <v>13255.11052631579</v>
      </c>
      <c r="G106" s="3"/>
      <c r="H106" s="3"/>
      <c r="I106" s="3"/>
      <c r="J106" s="3" t="s">
        <v>250</v>
      </c>
      <c r="K106" s="3">
        <v>5643.1697368421064</v>
      </c>
      <c r="M106" s="3"/>
      <c r="N106" s="3"/>
      <c r="O106" s="3"/>
      <c r="P106" s="3" t="s">
        <v>250</v>
      </c>
      <c r="Q106" s="3">
        <v>22583.235526315792</v>
      </c>
    </row>
    <row r="107" spans="1:23" x14ac:dyDescent="0.25">
      <c r="A107" s="3" t="s">
        <v>249</v>
      </c>
      <c r="B107" s="3">
        <f>4907.08*2</f>
        <v>9814.16</v>
      </c>
      <c r="C107" s="3"/>
      <c r="D107" s="3" t="s">
        <v>251</v>
      </c>
      <c r="E107" s="3">
        <f>E105+E106</f>
        <v>23069.270526315791</v>
      </c>
      <c r="G107" s="3" t="s">
        <v>249</v>
      </c>
      <c r="H107" s="3">
        <f>2593.05*2</f>
        <v>5186.1000000000004</v>
      </c>
      <c r="I107" s="3"/>
      <c r="J107" s="3" t="s">
        <v>251</v>
      </c>
      <c r="K107" s="3">
        <f>K105+K106</f>
        <v>10829.269736842107</v>
      </c>
      <c r="M107" s="3" t="s">
        <v>249</v>
      </c>
      <c r="N107" s="3">
        <f>7742.83*2</f>
        <v>15485.66</v>
      </c>
      <c r="O107" s="3"/>
      <c r="P107" s="3" t="s">
        <v>251</v>
      </c>
      <c r="Q107" s="3">
        <f>Q105+Q106</f>
        <v>38068.895526315791</v>
      </c>
    </row>
    <row r="108" spans="1:23" x14ac:dyDescent="0.25">
      <c r="A108" s="3" t="s">
        <v>252</v>
      </c>
      <c r="B108" s="3">
        <v>9614.67</v>
      </c>
      <c r="C108" s="3"/>
      <c r="D108" s="3" t="s">
        <v>252</v>
      </c>
      <c r="E108" s="3">
        <v>13381.48</v>
      </c>
      <c r="G108" s="3" t="s">
        <v>252</v>
      </c>
      <c r="H108" s="3">
        <v>644.59</v>
      </c>
      <c r="I108" s="3"/>
      <c r="J108" s="3" t="s">
        <v>252</v>
      </c>
      <c r="K108" s="3">
        <v>9614.67</v>
      </c>
      <c r="M108" s="3" t="s">
        <v>252</v>
      </c>
      <c r="N108" s="3">
        <v>13381.48</v>
      </c>
      <c r="O108" s="3"/>
      <c r="P108" s="3" t="s">
        <v>252</v>
      </c>
      <c r="Q108" s="3">
        <v>26988.51</v>
      </c>
    </row>
    <row r="109" spans="1:23" x14ac:dyDescent="0.25">
      <c r="A109" s="3" t="s">
        <v>253</v>
      </c>
      <c r="B109" s="3">
        <f>B107-B108</f>
        <v>199.48999999999978</v>
      </c>
      <c r="C109" s="3"/>
      <c r="D109" s="3" t="s">
        <v>253</v>
      </c>
      <c r="E109" s="3">
        <f>(E107-E108)</f>
        <v>9687.7905263157918</v>
      </c>
      <c r="G109" s="3" t="s">
        <v>253</v>
      </c>
      <c r="H109" s="3">
        <f>H107-H108</f>
        <v>4541.51</v>
      </c>
      <c r="I109" s="3"/>
      <c r="J109" s="3" t="s">
        <v>253</v>
      </c>
      <c r="K109" s="3">
        <f>(K107-K108)</f>
        <v>1214.5997368421067</v>
      </c>
      <c r="M109" s="3" t="s">
        <v>253</v>
      </c>
      <c r="N109" s="3">
        <f>N107-N108</f>
        <v>2104.1800000000003</v>
      </c>
      <c r="O109" s="3"/>
      <c r="P109" s="3" t="s">
        <v>253</v>
      </c>
      <c r="Q109" s="3">
        <f>(Q107-Q108)</f>
        <v>11080.385526315793</v>
      </c>
    </row>
    <row r="110" spans="1:23" x14ac:dyDescent="0.25">
      <c r="A110" s="3" t="s">
        <v>254</v>
      </c>
      <c r="B110" s="5">
        <v>0.16</v>
      </c>
      <c r="C110" s="3"/>
      <c r="D110" s="3" t="s">
        <v>254</v>
      </c>
      <c r="E110" s="5">
        <v>0.21360000000000001</v>
      </c>
      <c r="G110" s="3" t="s">
        <v>254</v>
      </c>
      <c r="H110" s="5">
        <v>6.4000000000000001E-2</v>
      </c>
      <c r="I110" s="3"/>
      <c r="J110" s="3" t="s">
        <v>254</v>
      </c>
      <c r="K110" s="5">
        <v>0.16</v>
      </c>
      <c r="M110" s="3" t="s">
        <v>254</v>
      </c>
      <c r="N110" s="5">
        <v>0.21360000000000001</v>
      </c>
      <c r="O110" s="3"/>
      <c r="P110" s="3" t="s">
        <v>254</v>
      </c>
      <c r="Q110" s="5">
        <v>0.23519999999999999</v>
      </c>
    </row>
    <row r="111" spans="1:23" x14ac:dyDescent="0.25">
      <c r="A111" s="3" t="s">
        <v>255</v>
      </c>
      <c r="B111" s="3">
        <f>B109*B110</f>
        <v>31.918399999999966</v>
      </c>
      <c r="C111" s="3"/>
      <c r="D111" s="3" t="s">
        <v>255</v>
      </c>
      <c r="E111" s="3">
        <f>(E109*E110)</f>
        <v>2069.3120564210531</v>
      </c>
      <c r="G111" s="3" t="s">
        <v>255</v>
      </c>
      <c r="H111" s="3">
        <f>H109*H110</f>
        <v>290.65664000000004</v>
      </c>
      <c r="I111" s="3"/>
      <c r="J111" s="3" t="s">
        <v>255</v>
      </c>
      <c r="K111" s="3">
        <f>(K109*K110)</f>
        <v>194.33595789473708</v>
      </c>
      <c r="M111" s="3" t="s">
        <v>255</v>
      </c>
      <c r="N111" s="3">
        <f>N109*N110</f>
        <v>449.45284800000007</v>
      </c>
      <c r="O111" s="3"/>
      <c r="P111" s="3" t="s">
        <v>255</v>
      </c>
      <c r="Q111" s="3">
        <f>(Q109*Q110)</f>
        <v>2606.1066757894746</v>
      </c>
    </row>
    <row r="112" spans="1:23" x14ac:dyDescent="0.25">
      <c r="A112" s="3" t="s">
        <v>256</v>
      </c>
      <c r="B112" s="3">
        <v>772.1</v>
      </c>
      <c r="C112" s="3"/>
      <c r="D112" s="3" t="s">
        <v>256</v>
      </c>
      <c r="E112" s="3">
        <v>1417.12</v>
      </c>
      <c r="G112" s="3" t="s">
        <v>256</v>
      </c>
      <c r="H112" s="3">
        <v>12.38</v>
      </c>
      <c r="I112" s="3"/>
      <c r="J112" s="3" t="s">
        <v>256</v>
      </c>
      <c r="K112" s="3">
        <v>772.1</v>
      </c>
      <c r="M112" s="3" t="s">
        <v>256</v>
      </c>
      <c r="N112" s="3">
        <v>1417.12</v>
      </c>
      <c r="O112" s="3"/>
      <c r="P112" s="3" t="s">
        <v>256</v>
      </c>
      <c r="Q112" s="3">
        <v>4323.58</v>
      </c>
    </row>
    <row r="113" spans="1:17" x14ac:dyDescent="0.25">
      <c r="A113" s="3" t="s">
        <v>257</v>
      </c>
      <c r="B113" s="3">
        <f>B111+B112</f>
        <v>804.01840000000004</v>
      </c>
      <c r="C113" s="3"/>
      <c r="D113" s="3" t="s">
        <v>257</v>
      </c>
      <c r="E113" s="3">
        <f>(E111+E112)</f>
        <v>3486.4320564210529</v>
      </c>
      <c r="G113" s="3" t="s">
        <v>257</v>
      </c>
      <c r="H113" s="3">
        <f>H111+H112</f>
        <v>303.03664000000003</v>
      </c>
      <c r="I113" s="3"/>
      <c r="J113" s="3" t="s">
        <v>257</v>
      </c>
      <c r="K113" s="3">
        <f>(K111+K112)</f>
        <v>966.43595789473716</v>
      </c>
      <c r="M113" s="3" t="s">
        <v>257</v>
      </c>
      <c r="N113" s="3">
        <f>N111+N112</f>
        <v>1866.572848</v>
      </c>
      <c r="O113" s="3"/>
      <c r="P113" s="3" t="s">
        <v>257</v>
      </c>
      <c r="Q113" s="3">
        <f>(Q111+Q112)</f>
        <v>6929.686675789475</v>
      </c>
    </row>
    <row r="114" spans="1:17" x14ac:dyDescent="0.25">
      <c r="A114" s="3" t="s">
        <v>258</v>
      </c>
      <c r="B114" s="3"/>
      <c r="C114" s="3"/>
      <c r="D114" s="3" t="s">
        <v>258</v>
      </c>
      <c r="E114" s="3"/>
      <c r="G114" s="3" t="s">
        <v>258</v>
      </c>
      <c r="H114" s="3"/>
      <c r="I114" s="3"/>
      <c r="J114" s="3" t="s">
        <v>258</v>
      </c>
      <c r="K114" s="3"/>
      <c r="M114" s="3" t="s">
        <v>258</v>
      </c>
      <c r="N114" s="3"/>
      <c r="O114" s="3"/>
      <c r="P114" s="3" t="s">
        <v>258</v>
      </c>
      <c r="Q114" s="3"/>
    </row>
    <row r="115" spans="1:17" x14ac:dyDescent="0.25">
      <c r="A115" s="3" t="s">
        <v>259</v>
      </c>
      <c r="B115" s="3">
        <f>(B113-B114)</f>
        <v>804.01840000000004</v>
      </c>
      <c r="C115" s="3"/>
      <c r="D115" s="3" t="s">
        <v>259</v>
      </c>
      <c r="E115" s="3">
        <f>(E113-E114)</f>
        <v>3486.4320564210529</v>
      </c>
      <c r="G115" s="3" t="s">
        <v>259</v>
      </c>
      <c r="H115" s="3">
        <f>(H113-H114)</f>
        <v>303.03664000000003</v>
      </c>
      <c r="I115" s="3"/>
      <c r="J115" s="3" t="s">
        <v>259</v>
      </c>
      <c r="K115" s="3">
        <f>(K113-K114)</f>
        <v>966.43595789473716</v>
      </c>
      <c r="M115" s="3" t="s">
        <v>259</v>
      </c>
      <c r="N115" s="3">
        <f>(N113-N114)</f>
        <v>1866.572848</v>
      </c>
      <c r="O115" s="3"/>
      <c r="P115" s="3" t="s">
        <v>259</v>
      </c>
      <c r="Q115" s="3">
        <f>(Q113-Q114)</f>
        <v>6929.686675789475</v>
      </c>
    </row>
    <row r="116" spans="1:17" x14ac:dyDescent="0.25">
      <c r="A116" s="3"/>
      <c r="B116" s="3"/>
      <c r="C116" s="3"/>
      <c r="D116" s="3"/>
      <c r="E116" s="3"/>
      <c r="G116" s="3"/>
      <c r="H116" s="3"/>
      <c r="I116" s="3"/>
      <c r="J116" s="3"/>
      <c r="K116" s="3"/>
      <c r="M116" s="3"/>
      <c r="N116" s="3"/>
      <c r="O116" s="3"/>
      <c r="P116" s="3"/>
      <c r="Q116" s="3"/>
    </row>
    <row r="117" spans="1:17" x14ac:dyDescent="0.25">
      <c r="A117" s="3"/>
      <c r="B117" s="3"/>
      <c r="C117" s="3"/>
      <c r="D117" s="3" t="s">
        <v>260</v>
      </c>
      <c r="E117" s="3">
        <f>E115-B115</f>
        <v>2682.413656421053</v>
      </c>
      <c r="G117" s="3"/>
      <c r="H117" s="3"/>
      <c r="I117" s="3"/>
      <c r="J117" s="3" t="s">
        <v>260</v>
      </c>
      <c r="K117" s="3">
        <f>K115-H115</f>
        <v>663.39931789473712</v>
      </c>
      <c r="M117" s="3"/>
      <c r="N117" s="3"/>
      <c r="O117" s="3"/>
      <c r="P117" s="3" t="s">
        <v>260</v>
      </c>
      <c r="Q117" s="3">
        <f>Q115-N115</f>
        <v>5063.1138277894752</v>
      </c>
    </row>
  </sheetData>
  <mergeCells count="54">
    <mergeCell ref="M69:N69"/>
    <mergeCell ref="A103:B103"/>
    <mergeCell ref="D103:E103"/>
    <mergeCell ref="G103:H103"/>
    <mergeCell ref="J103:K103"/>
    <mergeCell ref="M103:N103"/>
    <mergeCell ref="M35:N35"/>
    <mergeCell ref="P103:Q103"/>
    <mergeCell ref="S69:T69"/>
    <mergeCell ref="V69:W69"/>
    <mergeCell ref="A86:B86"/>
    <mergeCell ref="D86:E86"/>
    <mergeCell ref="G86:H86"/>
    <mergeCell ref="J86:K86"/>
    <mergeCell ref="M86:N86"/>
    <mergeCell ref="P86:Q86"/>
    <mergeCell ref="S86:T86"/>
    <mergeCell ref="V86:W86"/>
    <mergeCell ref="A69:B69"/>
    <mergeCell ref="D69:E69"/>
    <mergeCell ref="G69:H69"/>
    <mergeCell ref="J69:K69"/>
    <mergeCell ref="M1:N1"/>
    <mergeCell ref="P69:Q69"/>
    <mergeCell ref="S35:T35"/>
    <mergeCell ref="V35:W35"/>
    <mergeCell ref="A52:B52"/>
    <mergeCell ref="D52:E52"/>
    <mergeCell ref="G52:H52"/>
    <mergeCell ref="J52:K52"/>
    <mergeCell ref="M52:N52"/>
    <mergeCell ref="P52:Q52"/>
    <mergeCell ref="S52:T52"/>
    <mergeCell ref="V52:W52"/>
    <mergeCell ref="A35:B35"/>
    <mergeCell ref="D35:E35"/>
    <mergeCell ref="G35:H35"/>
    <mergeCell ref="J35:K35"/>
    <mergeCell ref="P1:Q1"/>
    <mergeCell ref="P35:Q35"/>
    <mergeCell ref="S1:T1"/>
    <mergeCell ref="V1:W1"/>
    <mergeCell ref="A18:B18"/>
    <mergeCell ref="D18:E18"/>
    <mergeCell ref="G18:H18"/>
    <mergeCell ref="J18:K18"/>
    <mergeCell ref="M18:N18"/>
    <mergeCell ref="P18:Q18"/>
    <mergeCell ref="S18:T18"/>
    <mergeCell ref="V18:W18"/>
    <mergeCell ref="A1:B1"/>
    <mergeCell ref="D1:E1"/>
    <mergeCell ref="G1:H1"/>
    <mergeCell ref="J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1B313-214D-4112-A2C5-7E62DEB54CE8}">
  <dimension ref="A1:Q102"/>
  <sheetViews>
    <sheetView topLeftCell="A76" zoomScale="85" zoomScaleNormal="85" workbookViewId="0">
      <selection activeCell="K98" sqref="K98"/>
    </sheetView>
  </sheetViews>
  <sheetFormatPr baseColWidth="10" defaultRowHeight="15" x14ac:dyDescent="0.25"/>
  <cols>
    <col min="1" max="1" width="5.85546875" customWidth="1"/>
    <col min="2" max="2" width="40" customWidth="1"/>
    <col min="3" max="3" width="35" customWidth="1"/>
    <col min="4" max="4" width="14.42578125" customWidth="1"/>
    <col min="5" max="5" width="13.28515625" bestFit="1" customWidth="1"/>
    <col min="7" max="7" width="11.5703125" customWidth="1"/>
    <col min="8" max="8" width="17.28515625" customWidth="1"/>
    <col min="10" max="10" width="14.28515625" customWidth="1"/>
    <col min="11" max="11" width="15.140625" customWidth="1"/>
    <col min="12" max="12" width="18" hidden="1" customWidth="1"/>
    <col min="13" max="13" width="14" hidden="1" customWidth="1"/>
    <col min="14" max="14" width="16.28515625" hidden="1" customWidth="1"/>
    <col min="15" max="15" width="17.140625" hidden="1" customWidth="1"/>
    <col min="16" max="16" width="17.7109375" customWidth="1"/>
    <col min="17" max="17" width="33.5703125" customWidth="1"/>
  </cols>
  <sheetData>
    <row r="1" spans="1:17" ht="43.5" customHeight="1" x14ac:dyDescent="0.25">
      <c r="A1" s="112" t="s">
        <v>79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4"/>
    </row>
    <row r="2" spans="1:17" ht="30" customHeight="1" x14ac:dyDescent="0.25">
      <c r="A2" s="115" t="s">
        <v>244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116"/>
    </row>
    <row r="3" spans="1:17" ht="45" x14ac:dyDescent="0.25">
      <c r="A3" s="18" t="s">
        <v>1</v>
      </c>
      <c r="B3" s="28" t="s">
        <v>2</v>
      </c>
      <c r="C3" s="28" t="s">
        <v>3</v>
      </c>
      <c r="D3" s="29" t="s">
        <v>4</v>
      </c>
      <c r="E3" s="29" t="s">
        <v>5</v>
      </c>
      <c r="F3" s="29" t="s">
        <v>6</v>
      </c>
      <c r="G3" s="28" t="s">
        <v>7</v>
      </c>
      <c r="H3" s="29" t="s">
        <v>8</v>
      </c>
      <c r="I3" s="29" t="s">
        <v>9</v>
      </c>
      <c r="J3" s="29" t="s">
        <v>10</v>
      </c>
      <c r="K3" s="29" t="s">
        <v>11</v>
      </c>
      <c r="L3" s="29" t="s">
        <v>12</v>
      </c>
      <c r="M3" s="29" t="s">
        <v>13</v>
      </c>
      <c r="N3" s="28" t="s">
        <v>14</v>
      </c>
      <c r="O3" s="29" t="s">
        <v>15</v>
      </c>
      <c r="P3" s="29" t="s">
        <v>16</v>
      </c>
      <c r="Q3" s="19" t="s">
        <v>17</v>
      </c>
    </row>
    <row r="4" spans="1:17" ht="25.5" customHeight="1" x14ac:dyDescent="0.25">
      <c r="A4" s="31">
        <v>1</v>
      </c>
      <c r="B4" s="13" t="s">
        <v>80</v>
      </c>
      <c r="C4" s="13" t="s">
        <v>113</v>
      </c>
      <c r="D4" s="14">
        <v>7361.35</v>
      </c>
      <c r="E4" s="14">
        <f>D4*2/30.4</f>
        <v>484.29934210526318</v>
      </c>
      <c r="F4" s="12">
        <f>31+28+31+30+31+30+31+31+30+31+30+31</f>
        <v>365</v>
      </c>
      <c r="G4" s="12">
        <f>F4*50/365</f>
        <v>50</v>
      </c>
      <c r="H4" s="15">
        <f>E4*G4</f>
        <v>24214.96710526316</v>
      </c>
      <c r="I4" s="21">
        <f>F4*30/365*96.22</f>
        <v>2886.6</v>
      </c>
      <c r="J4" s="15">
        <f>H4-I4</f>
        <v>21328.367105263162</v>
      </c>
      <c r="K4" s="14">
        <v>4751.488839157897</v>
      </c>
      <c r="L4" s="15">
        <f>H4+K4</f>
        <v>28966.455944421057</v>
      </c>
      <c r="M4" s="13"/>
      <c r="N4" s="14">
        <f>K4</f>
        <v>4751.488839157897</v>
      </c>
      <c r="O4" s="14">
        <f>N4</f>
        <v>4751.488839157897</v>
      </c>
      <c r="P4" s="15">
        <f>L4-O4</f>
        <v>24214.96710526316</v>
      </c>
      <c r="Q4" s="46"/>
    </row>
    <row r="5" spans="1:17" ht="25.5" customHeight="1" x14ac:dyDescent="0.25">
      <c r="A5" s="31">
        <v>2</v>
      </c>
      <c r="B5" s="13" t="s">
        <v>81</v>
      </c>
      <c r="C5" s="13" t="s">
        <v>114</v>
      </c>
      <c r="D5" s="14">
        <v>7361.35</v>
      </c>
      <c r="E5" s="14">
        <f>D5*2/30.4</f>
        <v>484.29934210526318</v>
      </c>
      <c r="F5" s="12">
        <f>31+28+31+30+31+30+31+31+30+31+30+31</f>
        <v>365</v>
      </c>
      <c r="G5" s="12">
        <f>F5*50/365</f>
        <v>50</v>
      </c>
      <c r="H5" s="15">
        <f>E5*G5</f>
        <v>24214.96710526316</v>
      </c>
      <c r="I5" s="21">
        <f t="shared" ref="I5:I68" si="0">F5*30/365*96.22</f>
        <v>2886.6</v>
      </c>
      <c r="J5" s="15">
        <f t="shared" ref="J5:J68" si="1">H5-I5</f>
        <v>21328.367105263162</v>
      </c>
      <c r="K5" s="14">
        <v>4751.488839157897</v>
      </c>
      <c r="L5" s="15">
        <f t="shared" ref="L5:L68" si="2">H5+K5</f>
        <v>28966.455944421057</v>
      </c>
      <c r="M5" s="13"/>
      <c r="N5" s="14">
        <f t="shared" ref="N5:N68" si="3">K5</f>
        <v>4751.488839157897</v>
      </c>
      <c r="O5" s="14">
        <f t="shared" ref="O5:O68" si="4">N5</f>
        <v>4751.488839157897</v>
      </c>
      <c r="P5" s="15">
        <f t="shared" ref="P5:P68" si="5">L5-O5</f>
        <v>24214.96710526316</v>
      </c>
      <c r="Q5" s="46"/>
    </row>
    <row r="6" spans="1:17" ht="25.5" customHeight="1" x14ac:dyDescent="0.25">
      <c r="A6" s="31">
        <v>3</v>
      </c>
      <c r="B6" s="13" t="s">
        <v>82</v>
      </c>
      <c r="C6" s="13" t="s">
        <v>115</v>
      </c>
      <c r="D6" s="14">
        <v>4336.6899999999996</v>
      </c>
      <c r="E6" s="14">
        <f>D6*2/30.4</f>
        <v>285.30855263157895</v>
      </c>
      <c r="F6" s="12">
        <f>31+28+31+30+31+30+31+31+30+31+30+31</f>
        <v>365</v>
      </c>
      <c r="G6" s="12">
        <f>F6*50/365</f>
        <v>50</v>
      </c>
      <c r="H6" s="15">
        <f>E6*G6</f>
        <v>14265.427631578947</v>
      </c>
      <c r="I6" s="21">
        <f t="shared" si="0"/>
        <v>2886.6</v>
      </c>
      <c r="J6" s="15">
        <f t="shared" si="1"/>
        <v>11378.827631578946</v>
      </c>
      <c r="K6" s="14">
        <v>2172.3008621052631</v>
      </c>
      <c r="L6" s="14">
        <f t="shared" si="2"/>
        <v>16437.728493684212</v>
      </c>
      <c r="M6" s="13"/>
      <c r="N6" s="14">
        <f t="shared" si="3"/>
        <v>2172.3008621052631</v>
      </c>
      <c r="O6" s="14">
        <f t="shared" si="4"/>
        <v>2172.3008621052631</v>
      </c>
      <c r="P6" s="15">
        <f t="shared" si="5"/>
        <v>14265.427631578948</v>
      </c>
      <c r="Q6" s="46"/>
    </row>
    <row r="7" spans="1:17" x14ac:dyDescent="0.25">
      <c r="A7" s="26"/>
      <c r="I7" s="75"/>
      <c r="J7" s="83"/>
      <c r="L7" s="83"/>
      <c r="P7" s="83"/>
      <c r="Q7" s="20"/>
    </row>
    <row r="8" spans="1:17" x14ac:dyDescent="0.25">
      <c r="A8" s="104" t="s">
        <v>296</v>
      </c>
      <c r="B8" s="105"/>
      <c r="C8" s="105"/>
      <c r="D8" s="84"/>
      <c r="E8" s="84"/>
      <c r="F8" s="84"/>
      <c r="G8" s="84"/>
      <c r="H8" s="84"/>
      <c r="I8" s="78"/>
      <c r="J8" s="85"/>
      <c r="K8" s="84"/>
      <c r="L8" s="85"/>
      <c r="M8" s="84"/>
      <c r="N8" s="84"/>
      <c r="O8" s="84"/>
      <c r="P8" s="85"/>
      <c r="Q8" s="61"/>
    </row>
    <row r="9" spans="1:17" ht="25.5" customHeight="1" x14ac:dyDescent="0.25">
      <c r="A9" s="31">
        <v>1</v>
      </c>
      <c r="B9" s="13" t="s">
        <v>83</v>
      </c>
      <c r="C9" s="13" t="s">
        <v>116</v>
      </c>
      <c r="D9" s="14">
        <v>8360</v>
      </c>
      <c r="E9" s="14">
        <f t="shared" ref="E9:E15" si="6">D9*2/30.4</f>
        <v>550</v>
      </c>
      <c r="F9" s="12">
        <f>8+31+30+31+30+31+31+30+31+30+31</f>
        <v>314</v>
      </c>
      <c r="G9" s="23">
        <f t="shared" ref="G9:G15" si="7">F9*50/365</f>
        <v>43.013698630136986</v>
      </c>
      <c r="H9" s="15">
        <f t="shared" ref="H9:H15" si="8">E9*G9</f>
        <v>23657.534246575342</v>
      </c>
      <c r="I9" s="21">
        <f>F9*30/365*96.22</f>
        <v>2483.2668493150682</v>
      </c>
      <c r="J9" s="15">
        <f t="shared" si="1"/>
        <v>21174.267397260275</v>
      </c>
      <c r="K9" s="14">
        <v>4758.3862678356181</v>
      </c>
      <c r="L9" s="15">
        <f t="shared" si="2"/>
        <v>28415.920514410958</v>
      </c>
      <c r="M9" s="13"/>
      <c r="N9" s="14">
        <f t="shared" si="3"/>
        <v>4758.3862678356181</v>
      </c>
      <c r="O9" s="14">
        <f t="shared" si="4"/>
        <v>4758.3862678356181</v>
      </c>
      <c r="P9" s="15">
        <f t="shared" si="5"/>
        <v>23657.534246575342</v>
      </c>
      <c r="Q9" s="32"/>
    </row>
    <row r="10" spans="1:17" ht="25.5" customHeight="1" x14ac:dyDescent="0.25">
      <c r="A10" s="31">
        <v>2</v>
      </c>
      <c r="B10" s="13" t="s">
        <v>84</v>
      </c>
      <c r="C10" s="13" t="s">
        <v>117</v>
      </c>
      <c r="D10" s="14">
        <v>7571</v>
      </c>
      <c r="E10" s="14">
        <f t="shared" si="6"/>
        <v>498.09210526315792</v>
      </c>
      <c r="F10" s="12">
        <f>31+18+31+30+31+30+31+31+30+31+30+31</f>
        <v>355</v>
      </c>
      <c r="G10" s="23">
        <f t="shared" si="7"/>
        <v>48.630136986301373</v>
      </c>
      <c r="H10" s="15">
        <f t="shared" si="8"/>
        <v>24222.287310742613</v>
      </c>
      <c r="I10" s="21">
        <f t="shared" si="0"/>
        <v>2807.5150684931505</v>
      </c>
      <c r="J10" s="15">
        <f t="shared" si="1"/>
        <v>21414.772242249463</v>
      </c>
      <c r="K10" s="14">
        <v>4780.8682073770742</v>
      </c>
      <c r="L10" s="15">
        <f t="shared" si="2"/>
        <v>29003.155518119689</v>
      </c>
      <c r="M10" s="13"/>
      <c r="N10" s="14">
        <f t="shared" si="3"/>
        <v>4780.8682073770742</v>
      </c>
      <c r="O10" s="14">
        <f t="shared" si="4"/>
        <v>4780.8682073770742</v>
      </c>
      <c r="P10" s="15">
        <f t="shared" si="5"/>
        <v>24222.287310742613</v>
      </c>
      <c r="Q10" s="32"/>
    </row>
    <row r="11" spans="1:17" ht="25.5" customHeight="1" x14ac:dyDescent="0.25">
      <c r="A11" s="31">
        <v>3</v>
      </c>
      <c r="B11" s="13" t="s">
        <v>85</v>
      </c>
      <c r="C11" s="13" t="s">
        <v>117</v>
      </c>
      <c r="D11" s="14">
        <v>7571</v>
      </c>
      <c r="E11" s="14">
        <f t="shared" si="6"/>
        <v>498.09210526315792</v>
      </c>
      <c r="F11" s="12">
        <f t="shared" ref="F11:F14" si="9">31+28+31+30+31+30+31+31+30+31+30+31</f>
        <v>365</v>
      </c>
      <c r="G11" s="12">
        <f t="shared" si="7"/>
        <v>50</v>
      </c>
      <c r="H11" s="15">
        <f t="shared" si="8"/>
        <v>24904.605263157897</v>
      </c>
      <c r="I11" s="21">
        <f t="shared" si="0"/>
        <v>2886.6</v>
      </c>
      <c r="J11" s="15">
        <f t="shared" si="1"/>
        <v>22018.005263157898</v>
      </c>
      <c r="K11" s="14">
        <v>4922.7486138947388</v>
      </c>
      <c r="L11" s="15">
        <f t="shared" si="2"/>
        <v>29827.353877052636</v>
      </c>
      <c r="M11" s="13"/>
      <c r="N11" s="14">
        <f t="shared" si="3"/>
        <v>4922.7486138947388</v>
      </c>
      <c r="O11" s="14">
        <f t="shared" si="4"/>
        <v>4922.7486138947388</v>
      </c>
      <c r="P11" s="15">
        <f t="shared" si="5"/>
        <v>24904.605263157897</v>
      </c>
      <c r="Q11" s="32"/>
    </row>
    <row r="12" spans="1:17" ht="26.25" customHeight="1" x14ac:dyDescent="0.25">
      <c r="A12" s="31">
        <v>4</v>
      </c>
      <c r="B12" s="13" t="s">
        <v>86</v>
      </c>
      <c r="C12" s="13" t="s">
        <v>117</v>
      </c>
      <c r="D12" s="14">
        <v>5746</v>
      </c>
      <c r="E12" s="14">
        <f t="shared" si="6"/>
        <v>378.0263157894737</v>
      </c>
      <c r="F12" s="12">
        <f t="shared" si="9"/>
        <v>365</v>
      </c>
      <c r="G12" s="12">
        <f t="shared" si="7"/>
        <v>50</v>
      </c>
      <c r="H12" s="15">
        <f t="shared" si="8"/>
        <v>18901.315789473683</v>
      </c>
      <c r="I12" s="21">
        <f t="shared" si="0"/>
        <v>2886.6</v>
      </c>
      <c r="J12" s="15">
        <f t="shared" si="1"/>
        <v>16014.715789473683</v>
      </c>
      <c r="K12" s="14">
        <v>3366.93769768421</v>
      </c>
      <c r="L12" s="15">
        <f t="shared" si="2"/>
        <v>22268.253487157894</v>
      </c>
      <c r="M12" s="13"/>
      <c r="N12" s="14">
        <f t="shared" si="3"/>
        <v>3366.93769768421</v>
      </c>
      <c r="O12" s="14">
        <f t="shared" si="4"/>
        <v>3366.93769768421</v>
      </c>
      <c r="P12" s="15">
        <f t="shared" si="5"/>
        <v>18901.315789473683</v>
      </c>
      <c r="Q12" s="32"/>
    </row>
    <row r="13" spans="1:17" ht="25.5" customHeight="1" x14ac:dyDescent="0.25">
      <c r="A13" s="31">
        <v>5</v>
      </c>
      <c r="B13" s="13" t="s">
        <v>87</v>
      </c>
      <c r="C13" s="13" t="s">
        <v>117</v>
      </c>
      <c r="D13" s="14">
        <v>7184</v>
      </c>
      <c r="E13" s="14">
        <f t="shared" si="6"/>
        <v>472.63157894736844</v>
      </c>
      <c r="F13" s="12">
        <f t="shared" si="9"/>
        <v>365</v>
      </c>
      <c r="G13" s="12">
        <f t="shared" si="7"/>
        <v>50</v>
      </c>
      <c r="H13" s="15">
        <f t="shared" si="8"/>
        <v>23631.578947368424</v>
      </c>
      <c r="I13" s="21">
        <f t="shared" si="0"/>
        <v>2886.6</v>
      </c>
      <c r="J13" s="15">
        <f t="shared" si="1"/>
        <v>20744.978947368425</v>
      </c>
      <c r="K13" s="14">
        <v>4606.6144244210527</v>
      </c>
      <c r="L13" s="15">
        <f t="shared" si="2"/>
        <v>28238.193371789475</v>
      </c>
      <c r="M13" s="13"/>
      <c r="N13" s="14">
        <f t="shared" si="3"/>
        <v>4606.6144244210527</v>
      </c>
      <c r="O13" s="14">
        <f t="shared" si="4"/>
        <v>4606.6144244210527</v>
      </c>
      <c r="P13" s="15">
        <f t="shared" si="5"/>
        <v>23631.578947368424</v>
      </c>
      <c r="Q13" s="32"/>
    </row>
    <row r="14" spans="1:17" ht="25.5" customHeight="1" x14ac:dyDescent="0.25">
      <c r="A14" s="31">
        <v>6</v>
      </c>
      <c r="B14" s="13" t="s">
        <v>88</v>
      </c>
      <c r="C14" s="13" t="s">
        <v>117</v>
      </c>
      <c r="D14" s="14">
        <v>7520.3</v>
      </c>
      <c r="E14" s="14">
        <f t="shared" si="6"/>
        <v>494.75657894736844</v>
      </c>
      <c r="F14" s="12">
        <f t="shared" si="9"/>
        <v>365</v>
      </c>
      <c r="G14" s="12">
        <f t="shared" si="7"/>
        <v>50</v>
      </c>
      <c r="H14" s="15">
        <f t="shared" si="8"/>
        <v>24737.828947368424</v>
      </c>
      <c r="I14" s="21">
        <f t="shared" si="0"/>
        <v>2886.6</v>
      </c>
      <c r="J14" s="15">
        <f t="shared" si="1"/>
        <v>21851.228947368425</v>
      </c>
      <c r="K14" s="14">
        <v>4881.332584421054</v>
      </c>
      <c r="L14" s="15">
        <f t="shared" si="2"/>
        <v>29619.161531789476</v>
      </c>
      <c r="M14" s="13"/>
      <c r="N14" s="14">
        <f t="shared" si="3"/>
        <v>4881.332584421054</v>
      </c>
      <c r="O14" s="14">
        <f t="shared" si="4"/>
        <v>4881.332584421054</v>
      </c>
      <c r="P14" s="15">
        <f t="shared" si="5"/>
        <v>24737.82894736842</v>
      </c>
      <c r="Q14" s="32"/>
    </row>
    <row r="15" spans="1:17" ht="25.5" customHeight="1" x14ac:dyDescent="0.25">
      <c r="A15" s="31">
        <v>7</v>
      </c>
      <c r="B15" s="13" t="s">
        <v>89</v>
      </c>
      <c r="C15" s="13" t="s">
        <v>76</v>
      </c>
      <c r="D15" s="14">
        <v>2593.0500000000002</v>
      </c>
      <c r="E15" s="14">
        <f t="shared" si="6"/>
        <v>170.59539473684214</v>
      </c>
      <c r="F15" s="12">
        <f>14+28+31+30+31+30+31+31+30+31+30+31</f>
        <v>348</v>
      </c>
      <c r="G15" s="23">
        <f t="shared" si="7"/>
        <v>47.671232876712331</v>
      </c>
      <c r="H15" s="15">
        <f t="shared" si="8"/>
        <v>8132.4927901946667</v>
      </c>
      <c r="I15" s="21">
        <f t="shared" si="0"/>
        <v>2752.155616438356</v>
      </c>
      <c r="J15" s="15">
        <f t="shared" si="1"/>
        <v>5380.3371737563102</v>
      </c>
      <c r="K15" s="14">
        <v>621.34610780100968</v>
      </c>
      <c r="L15" s="15">
        <f t="shared" si="2"/>
        <v>8753.8388979956762</v>
      </c>
      <c r="M15" s="13"/>
      <c r="N15" s="14">
        <f t="shared" si="3"/>
        <v>621.34610780100968</v>
      </c>
      <c r="O15" s="14">
        <f t="shared" si="4"/>
        <v>621.34610780100968</v>
      </c>
      <c r="P15" s="15">
        <f t="shared" si="5"/>
        <v>8132.4927901946667</v>
      </c>
      <c r="Q15" s="32"/>
    </row>
    <row r="16" spans="1:17" x14ac:dyDescent="0.25">
      <c r="A16" s="26"/>
      <c r="I16" s="75"/>
      <c r="J16" s="83"/>
      <c r="L16" s="83"/>
      <c r="P16" s="83"/>
      <c r="Q16" s="20"/>
    </row>
    <row r="17" spans="1:17" x14ac:dyDescent="0.25">
      <c r="A17" s="104" t="s">
        <v>431</v>
      </c>
      <c r="B17" s="105"/>
      <c r="C17" s="105"/>
      <c r="D17" s="84"/>
      <c r="E17" s="84"/>
      <c r="F17" s="84"/>
      <c r="G17" s="84"/>
      <c r="H17" s="84"/>
      <c r="I17" s="78"/>
      <c r="J17" s="85"/>
      <c r="K17" s="84"/>
      <c r="L17" s="85"/>
      <c r="M17" s="84"/>
      <c r="N17" s="84"/>
      <c r="O17" s="84"/>
      <c r="P17" s="85"/>
      <c r="Q17" s="61"/>
    </row>
    <row r="18" spans="1:17" ht="25.5" customHeight="1" x14ac:dyDescent="0.25">
      <c r="A18" s="31">
        <v>1</v>
      </c>
      <c r="B18" s="13" t="s">
        <v>90</v>
      </c>
      <c r="C18" s="13" t="s">
        <v>57</v>
      </c>
      <c r="D18" s="14">
        <v>8632.9599999999991</v>
      </c>
      <c r="E18" s="14">
        <f t="shared" ref="E18:E45" si="10">D18*2/30.4</f>
        <v>567.95789473684204</v>
      </c>
      <c r="F18" s="12">
        <f t="shared" ref="F18:F45" si="11">31+28+31+30+31+30+31+31+30+31+30+31</f>
        <v>365</v>
      </c>
      <c r="G18" s="12">
        <f t="shared" ref="G18:G45" si="12">F18*50/365</f>
        <v>50</v>
      </c>
      <c r="H18" s="15">
        <f t="shared" ref="H18:H45" si="13">E18*G18</f>
        <v>28397.894736842103</v>
      </c>
      <c r="I18" s="21">
        <f t="shared" si="0"/>
        <v>2886.6</v>
      </c>
      <c r="J18" s="15">
        <f t="shared" si="1"/>
        <v>25511.294736842105</v>
      </c>
      <c r="K18" s="14">
        <v>5805.7810370526304</v>
      </c>
      <c r="L18" s="15">
        <f t="shared" si="2"/>
        <v>34203.675773894734</v>
      </c>
      <c r="M18" s="13"/>
      <c r="N18" s="14">
        <f t="shared" si="3"/>
        <v>5805.7810370526304</v>
      </c>
      <c r="O18" s="14">
        <f t="shared" si="4"/>
        <v>5805.7810370526304</v>
      </c>
      <c r="P18" s="15">
        <f t="shared" si="5"/>
        <v>28397.894736842103</v>
      </c>
      <c r="Q18" s="32"/>
    </row>
    <row r="19" spans="1:17" ht="25.5" customHeight="1" x14ac:dyDescent="0.25">
      <c r="A19" s="31">
        <v>2</v>
      </c>
      <c r="B19" s="13" t="s">
        <v>118</v>
      </c>
      <c r="C19" s="13" t="s">
        <v>119</v>
      </c>
      <c r="D19" s="14">
        <v>3550</v>
      </c>
      <c r="E19" s="14">
        <f t="shared" si="10"/>
        <v>233.55263157894737</v>
      </c>
      <c r="F19" s="12">
        <f>14+28+31+30+31+30+31+31+30+31+30+31</f>
        <v>348</v>
      </c>
      <c r="G19" s="23">
        <f t="shared" si="12"/>
        <v>47.671232876712331</v>
      </c>
      <c r="H19" s="15">
        <f t="shared" si="13"/>
        <v>11133.741888968998</v>
      </c>
      <c r="I19" s="21">
        <f t="shared" si="0"/>
        <v>2752.155616438356</v>
      </c>
      <c r="J19" s="15">
        <f t="shared" si="1"/>
        <v>8381.5862725306415</v>
      </c>
      <c r="K19" s="14">
        <v>1294.9553480374911</v>
      </c>
      <c r="L19" s="15">
        <f t="shared" si="2"/>
        <v>12428.697237006489</v>
      </c>
      <c r="M19" s="13"/>
      <c r="N19" s="14">
        <f t="shared" si="3"/>
        <v>1294.9553480374911</v>
      </c>
      <c r="O19" s="14">
        <f t="shared" si="4"/>
        <v>1294.9553480374911</v>
      </c>
      <c r="P19" s="15">
        <f t="shared" si="5"/>
        <v>11133.741888968998</v>
      </c>
      <c r="Q19" s="32"/>
    </row>
    <row r="20" spans="1:17" ht="25.5" customHeight="1" x14ac:dyDescent="0.25">
      <c r="A20" s="31">
        <v>3</v>
      </c>
      <c r="B20" s="13" t="s">
        <v>91</v>
      </c>
      <c r="C20" s="13" t="s">
        <v>119</v>
      </c>
      <c r="D20" s="14">
        <v>3900</v>
      </c>
      <c r="E20" s="14">
        <f t="shared" si="10"/>
        <v>256.57894736842104</v>
      </c>
      <c r="F20" s="12">
        <f t="shared" si="11"/>
        <v>365</v>
      </c>
      <c r="G20" s="12">
        <f t="shared" si="12"/>
        <v>50</v>
      </c>
      <c r="H20" s="15">
        <f t="shared" si="13"/>
        <v>12828.947368421052</v>
      </c>
      <c r="I20" s="21">
        <f t="shared" si="0"/>
        <v>2886.6</v>
      </c>
      <c r="J20" s="15">
        <f t="shared" si="1"/>
        <v>9942.3473684210512</v>
      </c>
      <c r="K20" s="14">
        <v>1773.9384538947365</v>
      </c>
      <c r="L20" s="15">
        <f t="shared" si="2"/>
        <v>14602.885822315788</v>
      </c>
      <c r="M20" s="13"/>
      <c r="N20" s="14">
        <f t="shared" si="3"/>
        <v>1773.9384538947365</v>
      </c>
      <c r="O20" s="14">
        <f t="shared" si="4"/>
        <v>1773.9384538947365</v>
      </c>
      <c r="P20" s="15">
        <f t="shared" si="5"/>
        <v>12828.947368421052</v>
      </c>
      <c r="Q20" s="32"/>
    </row>
    <row r="21" spans="1:17" ht="25.5" customHeight="1" x14ac:dyDescent="0.25">
      <c r="A21" s="31">
        <v>4</v>
      </c>
      <c r="B21" s="13" t="s">
        <v>120</v>
      </c>
      <c r="C21" s="13" t="s">
        <v>121</v>
      </c>
      <c r="D21" s="14">
        <v>3804.82</v>
      </c>
      <c r="E21" s="14">
        <f>D21*2/30.4</f>
        <v>250.31710526315791</v>
      </c>
      <c r="F21" s="12">
        <f>11+31+31+30+31+30+31</f>
        <v>195</v>
      </c>
      <c r="G21" s="23">
        <f t="shared" si="12"/>
        <v>26.712328767123289</v>
      </c>
      <c r="H21" s="15">
        <f t="shared" si="13"/>
        <v>6686.5528118240818</v>
      </c>
      <c r="I21" s="21">
        <f t="shared" si="0"/>
        <v>1542.1561643835616</v>
      </c>
      <c r="J21" s="15">
        <f t="shared" si="1"/>
        <v>5144.3966474405206</v>
      </c>
      <c r="K21" s="14">
        <v>750.7296232213414</v>
      </c>
      <c r="L21" s="15">
        <f t="shared" si="2"/>
        <v>7437.282435045423</v>
      </c>
      <c r="M21" s="13"/>
      <c r="N21" s="14">
        <f t="shared" si="3"/>
        <v>750.7296232213414</v>
      </c>
      <c r="O21" s="14">
        <f t="shared" si="4"/>
        <v>750.7296232213414</v>
      </c>
      <c r="P21" s="15">
        <f t="shared" si="5"/>
        <v>6686.5528118240818</v>
      </c>
      <c r="Q21" s="32"/>
    </row>
    <row r="22" spans="1:17" ht="25.5" customHeight="1" x14ac:dyDescent="0.25">
      <c r="A22" s="31">
        <v>5</v>
      </c>
      <c r="B22" s="13" t="s">
        <v>122</v>
      </c>
      <c r="C22" s="13" t="s">
        <v>121</v>
      </c>
      <c r="D22" s="14">
        <v>4343.42</v>
      </c>
      <c r="E22" s="14">
        <f t="shared" si="10"/>
        <v>285.75131578947372</v>
      </c>
      <c r="F22" s="12">
        <f>7+31+30+31+30+31</f>
        <v>160</v>
      </c>
      <c r="G22" s="23">
        <f t="shared" si="12"/>
        <v>21.917808219178081</v>
      </c>
      <c r="H22" s="15">
        <f t="shared" si="13"/>
        <v>6263.0425378514783</v>
      </c>
      <c r="I22" s="21">
        <f t="shared" si="0"/>
        <v>1265.358904109589</v>
      </c>
      <c r="J22" s="15">
        <f t="shared" si="1"/>
        <v>4997.683633741889</v>
      </c>
      <c r="K22" s="14">
        <v>810.6991121672678</v>
      </c>
      <c r="L22" s="15">
        <f t="shared" si="2"/>
        <v>7073.7416500187464</v>
      </c>
      <c r="M22" s="13"/>
      <c r="N22" s="14">
        <f t="shared" si="3"/>
        <v>810.6991121672678</v>
      </c>
      <c r="O22" s="14">
        <f t="shared" si="4"/>
        <v>810.6991121672678</v>
      </c>
      <c r="P22" s="15">
        <f t="shared" si="5"/>
        <v>6263.0425378514783</v>
      </c>
      <c r="Q22" s="32"/>
    </row>
    <row r="23" spans="1:17" ht="25.5" customHeight="1" x14ac:dyDescent="0.25">
      <c r="A23" s="31">
        <v>6</v>
      </c>
      <c r="B23" s="13" t="s">
        <v>92</v>
      </c>
      <c r="C23" s="13" t="s">
        <v>123</v>
      </c>
      <c r="D23" s="14">
        <v>3893.46</v>
      </c>
      <c r="E23" s="14">
        <f t="shared" si="10"/>
        <v>256.14868421052631</v>
      </c>
      <c r="F23" s="12">
        <f t="shared" si="11"/>
        <v>365</v>
      </c>
      <c r="G23" s="12">
        <f t="shared" si="12"/>
        <v>50</v>
      </c>
      <c r="H23" s="15">
        <f t="shared" si="13"/>
        <v>12807.434210526315</v>
      </c>
      <c r="I23" s="21">
        <f t="shared" si="0"/>
        <v>2886.6</v>
      </c>
      <c r="J23" s="15">
        <f t="shared" si="1"/>
        <v>9920.8342105263146</v>
      </c>
      <c r="K23" s="14">
        <v>1767.9724593684205</v>
      </c>
      <c r="L23" s="15">
        <f t="shared" si="2"/>
        <v>14575.406669894735</v>
      </c>
      <c r="M23" s="13"/>
      <c r="N23" s="14">
        <f t="shared" si="3"/>
        <v>1767.9724593684205</v>
      </c>
      <c r="O23" s="14">
        <f t="shared" si="4"/>
        <v>1767.9724593684205</v>
      </c>
      <c r="P23" s="15">
        <f t="shared" si="5"/>
        <v>12807.434210526315</v>
      </c>
      <c r="Q23" s="32"/>
    </row>
    <row r="24" spans="1:17" ht="25.5" customHeight="1" x14ac:dyDescent="0.25">
      <c r="A24" s="31">
        <v>7</v>
      </c>
      <c r="B24" s="13" t="s">
        <v>93</v>
      </c>
      <c r="C24" s="13" t="s">
        <v>124</v>
      </c>
      <c r="D24" s="65">
        <v>3893.46</v>
      </c>
      <c r="E24" s="65">
        <f t="shared" si="10"/>
        <v>256.14868421052631</v>
      </c>
      <c r="F24" s="12">
        <f>31+28+31+30+31+30+31+31+30+15</f>
        <v>288</v>
      </c>
      <c r="G24" s="23">
        <f t="shared" si="12"/>
        <v>39.452054794520549</v>
      </c>
      <c r="H24" s="15">
        <f t="shared" si="13"/>
        <v>10105.591925018025</v>
      </c>
      <c r="I24" s="66">
        <f t="shared" si="0"/>
        <v>2277.6460273972602</v>
      </c>
      <c r="J24" s="15">
        <f t="shared" si="1"/>
        <v>7827.9458976207643</v>
      </c>
      <c r="K24" s="65">
        <v>1320.9315157317951</v>
      </c>
      <c r="L24" s="15">
        <f t="shared" si="2"/>
        <v>11426.523440749821</v>
      </c>
      <c r="M24" s="13"/>
      <c r="N24" s="65">
        <f t="shared" si="3"/>
        <v>1320.9315157317951</v>
      </c>
      <c r="O24" s="65">
        <f t="shared" si="4"/>
        <v>1320.9315157317951</v>
      </c>
      <c r="P24" s="15">
        <f t="shared" si="5"/>
        <v>10105.591925018027</v>
      </c>
      <c r="Q24" s="32"/>
    </row>
    <row r="25" spans="1:17" ht="25.5" customHeight="1" x14ac:dyDescent="0.25">
      <c r="A25" s="31">
        <v>8</v>
      </c>
      <c r="B25" s="13" t="s">
        <v>434</v>
      </c>
      <c r="C25" s="13" t="s">
        <v>119</v>
      </c>
      <c r="D25" s="65">
        <v>5435.71</v>
      </c>
      <c r="E25" s="65">
        <f>D25*2/30.4</f>
        <v>357.61250000000001</v>
      </c>
      <c r="F25" s="12">
        <f>16+30+31</f>
        <v>77</v>
      </c>
      <c r="G25" s="23">
        <f t="shared" si="12"/>
        <v>10.547945205479452</v>
      </c>
      <c r="H25" s="15">
        <f t="shared" si="13"/>
        <v>3772.0770547945208</v>
      </c>
      <c r="I25" s="66">
        <f t="shared" si="0"/>
        <v>608.95397260273978</v>
      </c>
      <c r="J25" s="15">
        <f t="shared" si="1"/>
        <v>3163.1230821917811</v>
      </c>
      <c r="K25" s="65">
        <v>583.43427435616445</v>
      </c>
      <c r="L25" s="15"/>
      <c r="M25" s="13"/>
      <c r="N25" s="65"/>
      <c r="O25" s="65"/>
      <c r="P25" s="15">
        <v>3772.08</v>
      </c>
      <c r="Q25" s="32"/>
    </row>
    <row r="26" spans="1:17" ht="25.5" customHeight="1" x14ac:dyDescent="0.25">
      <c r="A26" s="31">
        <v>9</v>
      </c>
      <c r="B26" s="13" t="s">
        <v>125</v>
      </c>
      <c r="C26" s="13" t="s">
        <v>126</v>
      </c>
      <c r="D26" s="14">
        <v>3194.29</v>
      </c>
      <c r="E26" s="14">
        <f t="shared" si="10"/>
        <v>210.15065789473684</v>
      </c>
      <c r="F26" s="12">
        <f t="shared" si="11"/>
        <v>365</v>
      </c>
      <c r="G26" s="12">
        <f t="shared" si="12"/>
        <v>50</v>
      </c>
      <c r="H26" s="15">
        <f t="shared" si="13"/>
        <v>10507.532894736842</v>
      </c>
      <c r="I26" s="21">
        <f t="shared" si="0"/>
        <v>2886.6</v>
      </c>
      <c r="J26" s="15">
        <f t="shared" si="1"/>
        <v>7620.9328947368413</v>
      </c>
      <c r="K26" s="14">
        <v>1130.1675063157893</v>
      </c>
      <c r="L26" s="15">
        <f t="shared" si="2"/>
        <v>11637.700401052631</v>
      </c>
      <c r="M26" s="13"/>
      <c r="N26" s="14">
        <f t="shared" si="3"/>
        <v>1130.1675063157893</v>
      </c>
      <c r="O26" s="14">
        <f t="shared" si="4"/>
        <v>1130.1675063157893</v>
      </c>
      <c r="P26" s="15">
        <f t="shared" si="5"/>
        <v>10507.532894736842</v>
      </c>
      <c r="Q26" s="32"/>
    </row>
    <row r="27" spans="1:17" ht="25.5" customHeight="1" x14ac:dyDescent="0.25">
      <c r="A27" s="31">
        <v>10</v>
      </c>
      <c r="B27" s="13" t="s">
        <v>94</v>
      </c>
      <c r="C27" s="13" t="s">
        <v>127</v>
      </c>
      <c r="D27" s="14">
        <v>2593.0500000000002</v>
      </c>
      <c r="E27" s="14">
        <f t="shared" si="10"/>
        <v>170.59539473684214</v>
      </c>
      <c r="F27" s="12">
        <f t="shared" si="11"/>
        <v>365</v>
      </c>
      <c r="G27" s="12">
        <f t="shared" si="12"/>
        <v>50</v>
      </c>
      <c r="H27" s="15">
        <f t="shared" si="13"/>
        <v>8529.7697368421068</v>
      </c>
      <c r="I27" s="21">
        <f t="shared" si="0"/>
        <v>2886.6</v>
      </c>
      <c r="J27" s="15">
        <f t="shared" si="1"/>
        <v>5643.1697368421064</v>
      </c>
      <c r="K27" s="14">
        <v>663.39931789473712</v>
      </c>
      <c r="L27" s="15">
        <f t="shared" si="2"/>
        <v>9193.1690547368435</v>
      </c>
      <c r="M27" s="13"/>
      <c r="N27" s="14">
        <f t="shared" si="3"/>
        <v>663.39931789473712</v>
      </c>
      <c r="O27" s="14">
        <f t="shared" si="4"/>
        <v>663.39931789473712</v>
      </c>
      <c r="P27" s="15">
        <f t="shared" si="5"/>
        <v>8529.7697368421068</v>
      </c>
      <c r="Q27" s="32"/>
    </row>
    <row r="28" spans="1:17" ht="25.5" customHeight="1" x14ac:dyDescent="0.25">
      <c r="A28" s="31">
        <v>11</v>
      </c>
      <c r="B28" s="13" t="s">
        <v>95</v>
      </c>
      <c r="C28" s="13" t="s">
        <v>127</v>
      </c>
      <c r="D28" s="14">
        <v>3074.23</v>
      </c>
      <c r="E28" s="14">
        <f t="shared" si="10"/>
        <v>202.25197368421053</v>
      </c>
      <c r="F28" s="12">
        <f t="shared" si="11"/>
        <v>365</v>
      </c>
      <c r="G28" s="12">
        <f t="shared" si="12"/>
        <v>50</v>
      </c>
      <c r="H28" s="15">
        <f t="shared" si="13"/>
        <v>10112.598684210527</v>
      </c>
      <c r="I28" s="21">
        <f t="shared" si="0"/>
        <v>2886.6</v>
      </c>
      <c r="J28" s="15">
        <f t="shared" si="1"/>
        <v>7225.9986842105263</v>
      </c>
      <c r="K28" s="14">
        <v>1020.8856362105266</v>
      </c>
      <c r="L28" s="15">
        <f t="shared" si="2"/>
        <v>11133.484320421054</v>
      </c>
      <c r="M28" s="13"/>
      <c r="N28" s="14">
        <f t="shared" si="3"/>
        <v>1020.8856362105266</v>
      </c>
      <c r="O28" s="14">
        <f t="shared" si="4"/>
        <v>1020.8856362105266</v>
      </c>
      <c r="P28" s="15">
        <f t="shared" si="5"/>
        <v>10112.598684210527</v>
      </c>
      <c r="Q28" s="32"/>
    </row>
    <row r="29" spans="1:17" ht="25.5" customHeight="1" x14ac:dyDescent="0.25">
      <c r="A29" s="31">
        <v>12</v>
      </c>
      <c r="B29" s="13" t="s">
        <v>96</v>
      </c>
      <c r="C29" s="13" t="s">
        <v>128</v>
      </c>
      <c r="D29" s="14">
        <v>3464.72</v>
      </c>
      <c r="E29" s="14">
        <f t="shared" si="10"/>
        <v>227.94210526315788</v>
      </c>
      <c r="F29" s="12">
        <f t="shared" si="11"/>
        <v>365</v>
      </c>
      <c r="G29" s="12">
        <f t="shared" si="12"/>
        <v>50</v>
      </c>
      <c r="H29" s="15">
        <f t="shared" si="13"/>
        <v>11397.105263157895</v>
      </c>
      <c r="I29" s="21">
        <f t="shared" si="0"/>
        <v>2886.6</v>
      </c>
      <c r="J29" s="15">
        <f t="shared" si="1"/>
        <v>8510.5052631578947</v>
      </c>
      <c r="K29" s="14">
        <v>1376.862292210526</v>
      </c>
      <c r="L29" s="15">
        <f t="shared" si="2"/>
        <v>12773.967555368421</v>
      </c>
      <c r="M29" s="13"/>
      <c r="N29" s="14">
        <f t="shared" si="3"/>
        <v>1376.862292210526</v>
      </c>
      <c r="O29" s="14">
        <f t="shared" si="4"/>
        <v>1376.862292210526</v>
      </c>
      <c r="P29" s="15">
        <f t="shared" si="5"/>
        <v>11397.105263157895</v>
      </c>
      <c r="Q29" s="32"/>
    </row>
    <row r="30" spans="1:17" ht="25.5" customHeight="1" x14ac:dyDescent="0.25">
      <c r="A30" s="31">
        <v>13</v>
      </c>
      <c r="B30" s="13" t="s">
        <v>97</v>
      </c>
      <c r="C30" s="13" t="s">
        <v>129</v>
      </c>
      <c r="D30" s="14">
        <v>6111.18</v>
      </c>
      <c r="E30" s="14">
        <f t="shared" si="10"/>
        <v>402.05131578947373</v>
      </c>
      <c r="F30" s="12">
        <f t="shared" si="11"/>
        <v>365</v>
      </c>
      <c r="G30" s="12">
        <f t="shared" si="12"/>
        <v>50</v>
      </c>
      <c r="H30" s="15">
        <f t="shared" si="13"/>
        <v>20102.565789473687</v>
      </c>
      <c r="I30" s="21">
        <f t="shared" si="0"/>
        <v>2886.6</v>
      </c>
      <c r="J30" s="15">
        <f t="shared" si="1"/>
        <v>17215.965789473688</v>
      </c>
      <c r="K30" s="14">
        <v>3690.371857684212</v>
      </c>
      <c r="L30" s="15">
        <f t="shared" si="2"/>
        <v>23792.937647157898</v>
      </c>
      <c r="M30" s="13"/>
      <c r="N30" s="14">
        <f t="shared" si="3"/>
        <v>3690.371857684212</v>
      </c>
      <c r="O30" s="14">
        <f t="shared" si="4"/>
        <v>3690.371857684212</v>
      </c>
      <c r="P30" s="15">
        <f t="shared" si="5"/>
        <v>20102.565789473687</v>
      </c>
      <c r="Q30" s="32"/>
    </row>
    <row r="31" spans="1:17" ht="25.5" customHeight="1" x14ac:dyDescent="0.25">
      <c r="A31" s="31">
        <v>14</v>
      </c>
      <c r="B31" s="13" t="s">
        <v>98</v>
      </c>
      <c r="C31" s="13" t="s">
        <v>130</v>
      </c>
      <c r="D31" s="14">
        <v>4097.68</v>
      </c>
      <c r="E31" s="14">
        <f t="shared" si="10"/>
        <v>269.58421052631581</v>
      </c>
      <c r="F31" s="12">
        <f t="shared" si="11"/>
        <v>365</v>
      </c>
      <c r="G31" s="12">
        <f t="shared" si="12"/>
        <v>50</v>
      </c>
      <c r="H31" s="15">
        <f t="shared" si="13"/>
        <v>13479.21052631579</v>
      </c>
      <c r="I31" s="21">
        <f t="shared" si="0"/>
        <v>2886.6</v>
      </c>
      <c r="J31" s="15">
        <f t="shared" si="1"/>
        <v>10592.61052631579</v>
      </c>
      <c r="K31" s="14">
        <v>1954.2683924210523</v>
      </c>
      <c r="L31" s="15">
        <f t="shared" si="2"/>
        <v>15433.478918736842</v>
      </c>
      <c r="M31" s="13"/>
      <c r="N31" s="14">
        <f t="shared" si="3"/>
        <v>1954.2683924210523</v>
      </c>
      <c r="O31" s="14">
        <f t="shared" si="4"/>
        <v>1954.2683924210523</v>
      </c>
      <c r="P31" s="15">
        <f t="shared" si="5"/>
        <v>13479.21052631579</v>
      </c>
      <c r="Q31" s="32"/>
    </row>
    <row r="32" spans="1:17" ht="25.5" customHeight="1" x14ac:dyDescent="0.25">
      <c r="A32" s="31">
        <v>15</v>
      </c>
      <c r="B32" s="13" t="s">
        <v>99</v>
      </c>
      <c r="C32" s="13" t="s">
        <v>131</v>
      </c>
      <c r="D32" s="14">
        <v>2593.0500000000002</v>
      </c>
      <c r="E32" s="14">
        <f t="shared" si="10"/>
        <v>170.59539473684214</v>
      </c>
      <c r="F32" s="12">
        <f t="shared" si="11"/>
        <v>365</v>
      </c>
      <c r="G32" s="12">
        <f t="shared" si="12"/>
        <v>50</v>
      </c>
      <c r="H32" s="15">
        <f t="shared" si="13"/>
        <v>8529.7697368421068</v>
      </c>
      <c r="I32" s="21">
        <f t="shared" si="0"/>
        <v>2886.6</v>
      </c>
      <c r="J32" s="15">
        <f t="shared" si="1"/>
        <v>5643.1697368421064</v>
      </c>
      <c r="K32" s="14">
        <v>663.39931789473712</v>
      </c>
      <c r="L32" s="15">
        <f t="shared" si="2"/>
        <v>9193.1690547368435</v>
      </c>
      <c r="M32" s="13"/>
      <c r="N32" s="14">
        <f t="shared" si="3"/>
        <v>663.39931789473712</v>
      </c>
      <c r="O32" s="14">
        <f t="shared" si="4"/>
        <v>663.39931789473712</v>
      </c>
      <c r="P32" s="15">
        <f t="shared" si="5"/>
        <v>8529.7697368421068</v>
      </c>
      <c r="Q32" s="32"/>
    </row>
    <row r="33" spans="1:17" ht="25.5" customHeight="1" x14ac:dyDescent="0.25">
      <c r="A33" s="31">
        <v>16</v>
      </c>
      <c r="B33" s="13" t="s">
        <v>100</v>
      </c>
      <c r="C33" s="13" t="s">
        <v>132</v>
      </c>
      <c r="D33" s="14">
        <v>3928.25</v>
      </c>
      <c r="E33" s="14">
        <f t="shared" si="10"/>
        <v>258.4375</v>
      </c>
      <c r="F33" s="12">
        <f t="shared" si="11"/>
        <v>365</v>
      </c>
      <c r="G33" s="12">
        <f t="shared" si="12"/>
        <v>50</v>
      </c>
      <c r="H33" s="15">
        <f t="shared" si="13"/>
        <v>12921.875</v>
      </c>
      <c r="I33" s="21">
        <f t="shared" si="0"/>
        <v>2886.6</v>
      </c>
      <c r="J33" s="15">
        <f t="shared" si="1"/>
        <v>10035.275</v>
      </c>
      <c r="K33" s="14">
        <v>1799.7089960000003</v>
      </c>
      <c r="L33" s="15">
        <f t="shared" si="2"/>
        <v>14721.583996000001</v>
      </c>
      <c r="M33" s="13"/>
      <c r="N33" s="14">
        <f t="shared" si="3"/>
        <v>1799.7089960000003</v>
      </c>
      <c r="O33" s="14">
        <f t="shared" si="4"/>
        <v>1799.7089960000003</v>
      </c>
      <c r="P33" s="15">
        <f t="shared" si="5"/>
        <v>12921.875</v>
      </c>
      <c r="Q33" s="32"/>
    </row>
    <row r="34" spans="1:17" ht="25.5" customHeight="1" thickBot="1" x14ac:dyDescent="0.3">
      <c r="A34" s="36">
        <v>17</v>
      </c>
      <c r="B34" s="37" t="s">
        <v>101</v>
      </c>
      <c r="C34" s="37" t="s">
        <v>133</v>
      </c>
      <c r="D34" s="38">
        <v>4907.08</v>
      </c>
      <c r="E34" s="38">
        <f t="shared" si="10"/>
        <v>322.83421052631581</v>
      </c>
      <c r="F34" s="39">
        <f>21+31+30+31+30+31+31+30+31+30+31</f>
        <v>327</v>
      </c>
      <c r="G34" s="40">
        <f t="shared" si="12"/>
        <v>44.794520547945204</v>
      </c>
      <c r="H34" s="41">
        <f t="shared" si="13"/>
        <v>14461.203677000722</v>
      </c>
      <c r="I34" s="47">
        <f t="shared" si="0"/>
        <v>2586.0772602739726</v>
      </c>
      <c r="J34" s="41">
        <f t="shared" si="1"/>
        <v>11875.126416726749</v>
      </c>
      <c r="K34" s="38">
        <v>2387.6490506128334</v>
      </c>
      <c r="L34" s="41">
        <f t="shared" si="2"/>
        <v>16848.852727613554</v>
      </c>
      <c r="M34" s="37"/>
      <c r="N34" s="38">
        <f t="shared" si="3"/>
        <v>2387.6490506128334</v>
      </c>
      <c r="O34" s="38">
        <f t="shared" si="4"/>
        <v>2387.6490506128334</v>
      </c>
      <c r="P34" s="41">
        <f t="shared" si="5"/>
        <v>14461.20367700072</v>
      </c>
      <c r="Q34" s="42"/>
    </row>
    <row r="35" spans="1:17" ht="25.5" customHeight="1" x14ac:dyDescent="0.25">
      <c r="A35" s="69">
        <v>18</v>
      </c>
      <c r="B35" s="70" t="s">
        <v>102</v>
      </c>
      <c r="C35" s="70" t="s">
        <v>133</v>
      </c>
      <c r="D35" s="71">
        <v>4347.91</v>
      </c>
      <c r="E35" s="71">
        <f t="shared" si="10"/>
        <v>286.04671052631579</v>
      </c>
      <c r="F35" s="72">
        <f t="shared" si="11"/>
        <v>365</v>
      </c>
      <c r="G35" s="72">
        <f t="shared" si="12"/>
        <v>50</v>
      </c>
      <c r="H35" s="73">
        <f t="shared" si="13"/>
        <v>14302.33552631579</v>
      </c>
      <c r="I35" s="76">
        <f t="shared" si="0"/>
        <v>2886.6</v>
      </c>
      <c r="J35" s="73">
        <f t="shared" si="1"/>
        <v>11415.73552631579</v>
      </c>
      <c r="K35" s="71">
        <v>2182.5361004210527</v>
      </c>
      <c r="L35" s="73">
        <f t="shared" si="2"/>
        <v>16484.871626736844</v>
      </c>
      <c r="M35" s="70"/>
      <c r="N35" s="71">
        <f t="shared" si="3"/>
        <v>2182.5361004210527</v>
      </c>
      <c r="O35" s="71">
        <f t="shared" si="4"/>
        <v>2182.5361004210527</v>
      </c>
      <c r="P35" s="73">
        <f t="shared" si="5"/>
        <v>14302.33552631579</v>
      </c>
      <c r="Q35" s="74"/>
    </row>
    <row r="36" spans="1:17" ht="25.5" customHeight="1" x14ac:dyDescent="0.25">
      <c r="A36" s="59">
        <v>19</v>
      </c>
      <c r="B36" s="55" t="s">
        <v>103</v>
      </c>
      <c r="C36" s="55" t="s">
        <v>133</v>
      </c>
      <c r="D36" s="56">
        <v>4347.91</v>
      </c>
      <c r="E36" s="56">
        <f t="shared" si="10"/>
        <v>286.04671052631579</v>
      </c>
      <c r="F36" s="54">
        <f t="shared" si="11"/>
        <v>365</v>
      </c>
      <c r="G36" s="54">
        <f t="shared" si="12"/>
        <v>50</v>
      </c>
      <c r="H36" s="57">
        <f t="shared" si="13"/>
        <v>14302.33552631579</v>
      </c>
      <c r="I36" s="58">
        <f t="shared" si="0"/>
        <v>2886.6</v>
      </c>
      <c r="J36" s="57">
        <f t="shared" si="1"/>
        <v>11415.73552631579</v>
      </c>
      <c r="K36" s="56">
        <v>2182.5361004210527</v>
      </c>
      <c r="L36" s="57">
        <f t="shared" si="2"/>
        <v>16484.871626736844</v>
      </c>
      <c r="M36" s="55"/>
      <c r="N36" s="56">
        <f t="shared" si="3"/>
        <v>2182.5361004210527</v>
      </c>
      <c r="O36" s="56">
        <f t="shared" si="4"/>
        <v>2182.5361004210527</v>
      </c>
      <c r="P36" s="57">
        <f t="shared" si="5"/>
        <v>14302.33552631579</v>
      </c>
      <c r="Q36" s="60"/>
    </row>
    <row r="37" spans="1:17" ht="25.5" customHeight="1" x14ac:dyDescent="0.25">
      <c r="A37" s="31">
        <v>20</v>
      </c>
      <c r="B37" s="13" t="s">
        <v>104</v>
      </c>
      <c r="C37" s="13" t="s">
        <v>133</v>
      </c>
      <c r="D37" s="14">
        <v>4175.1099999999997</v>
      </c>
      <c r="E37" s="14">
        <f t="shared" si="10"/>
        <v>274.67828947368417</v>
      </c>
      <c r="F37" s="12">
        <f t="shared" si="11"/>
        <v>365</v>
      </c>
      <c r="G37" s="12">
        <f t="shared" si="12"/>
        <v>50</v>
      </c>
      <c r="H37" s="15">
        <f t="shared" si="13"/>
        <v>13733.914473684208</v>
      </c>
      <c r="I37" s="21">
        <f t="shared" si="0"/>
        <v>2886.6</v>
      </c>
      <c r="J37" s="15">
        <f t="shared" si="1"/>
        <v>10847.314473684208</v>
      </c>
      <c r="K37" s="14">
        <v>2024.9024835789473</v>
      </c>
      <c r="L37" s="15">
        <f t="shared" si="2"/>
        <v>15758.816957263156</v>
      </c>
      <c r="M37" s="13"/>
      <c r="N37" s="14">
        <f t="shared" si="3"/>
        <v>2024.9024835789473</v>
      </c>
      <c r="O37" s="14">
        <f t="shared" si="4"/>
        <v>2024.9024835789473</v>
      </c>
      <c r="P37" s="15">
        <f t="shared" si="5"/>
        <v>13733.914473684208</v>
      </c>
      <c r="Q37" s="32"/>
    </row>
    <row r="38" spans="1:17" ht="25.5" customHeight="1" x14ac:dyDescent="0.25">
      <c r="A38" s="31">
        <v>21</v>
      </c>
      <c r="B38" s="13" t="s">
        <v>134</v>
      </c>
      <c r="C38" s="13" t="s">
        <v>133</v>
      </c>
      <c r="D38" s="14">
        <v>4175.1099999999997</v>
      </c>
      <c r="E38" s="14">
        <f t="shared" si="10"/>
        <v>274.67828947368417</v>
      </c>
      <c r="F38" s="12">
        <f>21+31+30+31+30+31+31+30+31+30+31</f>
        <v>327</v>
      </c>
      <c r="G38" s="23">
        <f>F38*50/365</f>
        <v>44.794520547945204</v>
      </c>
      <c r="H38" s="15">
        <f t="shared" si="13"/>
        <v>12304.082281903387</v>
      </c>
      <c r="I38" s="21">
        <f t="shared" si="0"/>
        <v>2586.0772602739726</v>
      </c>
      <c r="J38" s="15">
        <f t="shared" si="1"/>
        <v>9718.0050216294148</v>
      </c>
      <c r="K38" s="14">
        <v>1783.6819846200428</v>
      </c>
      <c r="L38" s="15">
        <f t="shared" si="2"/>
        <v>14087.764266523431</v>
      </c>
      <c r="M38" s="13"/>
      <c r="N38" s="14">
        <f t="shared" si="3"/>
        <v>1783.6819846200428</v>
      </c>
      <c r="O38" s="14">
        <f t="shared" si="4"/>
        <v>1783.6819846200428</v>
      </c>
      <c r="P38" s="15">
        <f t="shared" si="5"/>
        <v>12304.082281903387</v>
      </c>
      <c r="Q38" s="32"/>
    </row>
    <row r="39" spans="1:17" ht="25.5" customHeight="1" x14ac:dyDescent="0.25">
      <c r="A39" s="31">
        <v>22</v>
      </c>
      <c r="B39" s="13" t="s">
        <v>135</v>
      </c>
      <c r="C39" s="13" t="s">
        <v>133</v>
      </c>
      <c r="D39" s="14">
        <v>4175.1099999999997</v>
      </c>
      <c r="E39" s="14">
        <f t="shared" si="10"/>
        <v>274.67828947368417</v>
      </c>
      <c r="F39" s="12">
        <f>26+30+31+31+30+31+30+31</f>
        <v>240</v>
      </c>
      <c r="G39" s="23">
        <f t="shared" si="12"/>
        <v>32.876712328767127</v>
      </c>
      <c r="H39" s="15">
        <f t="shared" si="13"/>
        <v>9030.5191059841382</v>
      </c>
      <c r="I39" s="21">
        <f t="shared" si="0"/>
        <v>1898.0383561643837</v>
      </c>
      <c r="J39" s="15">
        <f t="shared" si="1"/>
        <v>7132.4807498197542</v>
      </c>
      <c r="K39" s="14">
        <v>1231.4140001614992</v>
      </c>
      <c r="L39" s="15">
        <f t="shared" si="2"/>
        <v>10261.933106145638</v>
      </c>
      <c r="M39" s="13"/>
      <c r="N39" s="14">
        <f t="shared" si="3"/>
        <v>1231.4140001614992</v>
      </c>
      <c r="O39" s="14">
        <f t="shared" si="4"/>
        <v>1231.4140001614992</v>
      </c>
      <c r="P39" s="15">
        <f t="shared" si="5"/>
        <v>9030.5191059841382</v>
      </c>
      <c r="Q39" s="32"/>
    </row>
    <row r="40" spans="1:17" ht="25.5" customHeight="1" x14ac:dyDescent="0.25">
      <c r="A40" s="31">
        <v>23</v>
      </c>
      <c r="B40" s="13" t="s">
        <v>136</v>
      </c>
      <c r="C40" s="13" t="s">
        <v>133</v>
      </c>
      <c r="D40" s="14">
        <v>4175.1099999999997</v>
      </c>
      <c r="E40" s="14">
        <f t="shared" si="10"/>
        <v>274.67828947368417</v>
      </c>
      <c r="F40" s="12">
        <f>30+31+31+30+31+30+31</f>
        <v>214</v>
      </c>
      <c r="G40" s="23">
        <f t="shared" si="12"/>
        <v>29.315068493150687</v>
      </c>
      <c r="H40" s="15">
        <f t="shared" si="13"/>
        <v>8052.2128695025231</v>
      </c>
      <c r="I40" s="21">
        <f t="shared" si="0"/>
        <v>1692.4175342465753</v>
      </c>
      <c r="J40" s="15">
        <f t="shared" si="1"/>
        <v>6359.795335255948</v>
      </c>
      <c r="K40" s="14">
        <v>1066.3683956106702</v>
      </c>
      <c r="L40" s="15">
        <f t="shared" si="2"/>
        <v>9118.5812651131928</v>
      </c>
      <c r="M40" s="13"/>
      <c r="N40" s="14">
        <f t="shared" si="3"/>
        <v>1066.3683956106702</v>
      </c>
      <c r="O40" s="14">
        <f t="shared" si="4"/>
        <v>1066.3683956106702</v>
      </c>
      <c r="P40" s="15">
        <f t="shared" si="5"/>
        <v>8052.2128695025222</v>
      </c>
      <c r="Q40" s="32"/>
    </row>
    <row r="41" spans="1:17" ht="25.5" customHeight="1" x14ac:dyDescent="0.25">
      <c r="A41" s="31">
        <v>24</v>
      </c>
      <c r="B41" s="13" t="s">
        <v>105</v>
      </c>
      <c r="C41" s="13" t="s">
        <v>133</v>
      </c>
      <c r="D41" s="14">
        <v>3175.22</v>
      </c>
      <c r="E41" s="14">
        <f t="shared" si="10"/>
        <v>208.89605263157895</v>
      </c>
      <c r="F41" s="12">
        <f t="shared" si="11"/>
        <v>365</v>
      </c>
      <c r="G41" s="12">
        <f t="shared" si="12"/>
        <v>50</v>
      </c>
      <c r="H41" s="15">
        <f t="shared" si="13"/>
        <v>10444.802631578948</v>
      </c>
      <c r="I41" s="21">
        <f t="shared" si="0"/>
        <v>2886.6</v>
      </c>
      <c r="J41" s="15">
        <f t="shared" si="1"/>
        <v>7558.2026315789481</v>
      </c>
      <c r="K41" s="14">
        <v>1112.7712501052631</v>
      </c>
      <c r="L41" s="15">
        <f t="shared" si="2"/>
        <v>11557.573881684211</v>
      </c>
      <c r="M41" s="13"/>
      <c r="N41" s="14">
        <f t="shared" si="3"/>
        <v>1112.7712501052631</v>
      </c>
      <c r="O41" s="14">
        <f t="shared" si="4"/>
        <v>1112.7712501052631</v>
      </c>
      <c r="P41" s="15">
        <f t="shared" si="5"/>
        <v>10444.802631578948</v>
      </c>
      <c r="Q41" s="32"/>
    </row>
    <row r="42" spans="1:17" ht="25.5" customHeight="1" x14ac:dyDescent="0.25">
      <c r="A42" s="31">
        <v>25</v>
      </c>
      <c r="B42" s="13" t="s">
        <v>106</v>
      </c>
      <c r="C42" s="13" t="s">
        <v>133</v>
      </c>
      <c r="D42" s="14">
        <v>3543</v>
      </c>
      <c r="E42" s="14">
        <f t="shared" si="10"/>
        <v>233.09210526315792</v>
      </c>
      <c r="F42" s="12">
        <f t="shared" si="11"/>
        <v>365</v>
      </c>
      <c r="G42" s="12">
        <f t="shared" si="12"/>
        <v>50</v>
      </c>
      <c r="H42" s="15">
        <f t="shared" si="13"/>
        <v>11654.605263157897</v>
      </c>
      <c r="I42" s="21">
        <f t="shared" si="0"/>
        <v>2886.6</v>
      </c>
      <c r="J42" s="15">
        <f t="shared" si="1"/>
        <v>8768.0052631578965</v>
      </c>
      <c r="K42" s="14">
        <v>1448.2717802105267</v>
      </c>
      <c r="L42" s="15">
        <f t="shared" si="2"/>
        <v>13102.877043368424</v>
      </c>
      <c r="M42" s="13"/>
      <c r="N42" s="14">
        <f t="shared" si="3"/>
        <v>1448.2717802105267</v>
      </c>
      <c r="O42" s="14">
        <f t="shared" si="4"/>
        <v>1448.2717802105267</v>
      </c>
      <c r="P42" s="15">
        <f t="shared" si="5"/>
        <v>11654.605263157897</v>
      </c>
      <c r="Q42" s="32"/>
    </row>
    <row r="43" spans="1:17" ht="25.5" customHeight="1" x14ac:dyDescent="0.25">
      <c r="A43" s="31">
        <v>26</v>
      </c>
      <c r="B43" s="13" t="s">
        <v>107</v>
      </c>
      <c r="C43" s="13" t="s">
        <v>133</v>
      </c>
      <c r="D43" s="14">
        <v>3310</v>
      </c>
      <c r="E43" s="14">
        <f t="shared" si="10"/>
        <v>217.76315789473685</v>
      </c>
      <c r="F43" s="12">
        <f t="shared" si="11"/>
        <v>365</v>
      </c>
      <c r="G43" s="12">
        <f t="shared" si="12"/>
        <v>50</v>
      </c>
      <c r="H43" s="15">
        <f t="shared" si="13"/>
        <v>10888.157894736842</v>
      </c>
      <c r="I43" s="21">
        <f t="shared" si="0"/>
        <v>2886.6</v>
      </c>
      <c r="J43" s="15">
        <f t="shared" si="1"/>
        <v>8001.5578947368413</v>
      </c>
      <c r="K43" s="14">
        <v>1235.7218223157893</v>
      </c>
      <c r="L43" s="15">
        <f t="shared" si="2"/>
        <v>12123.87971705263</v>
      </c>
      <c r="M43" s="13"/>
      <c r="N43" s="14">
        <f t="shared" si="3"/>
        <v>1235.7218223157893</v>
      </c>
      <c r="O43" s="14">
        <f t="shared" si="4"/>
        <v>1235.7218223157893</v>
      </c>
      <c r="P43" s="15">
        <f t="shared" si="5"/>
        <v>10888.157894736842</v>
      </c>
      <c r="Q43" s="32"/>
    </row>
    <row r="44" spans="1:17" ht="25.5" customHeight="1" x14ac:dyDescent="0.25">
      <c r="A44" s="31">
        <v>27</v>
      </c>
      <c r="B44" s="13" t="s">
        <v>108</v>
      </c>
      <c r="C44" s="13" t="s">
        <v>133</v>
      </c>
      <c r="D44" s="14">
        <v>3966.4</v>
      </c>
      <c r="E44" s="14">
        <f t="shared" si="10"/>
        <v>260.94736842105266</v>
      </c>
      <c r="F44" s="12">
        <f t="shared" si="11"/>
        <v>365</v>
      </c>
      <c r="G44" s="12">
        <f t="shared" si="12"/>
        <v>50</v>
      </c>
      <c r="H44" s="15">
        <f t="shared" si="13"/>
        <v>13047.368421052633</v>
      </c>
      <c r="I44" s="21">
        <f t="shared" si="0"/>
        <v>2886.6</v>
      </c>
      <c r="J44" s="15">
        <f t="shared" si="1"/>
        <v>10160.768421052633</v>
      </c>
      <c r="K44" s="14">
        <v>1834.5106307368428</v>
      </c>
      <c r="L44" s="15">
        <f t="shared" si="2"/>
        <v>14881.879051789476</v>
      </c>
      <c r="M44" s="13"/>
      <c r="N44" s="14">
        <f t="shared" si="3"/>
        <v>1834.5106307368428</v>
      </c>
      <c r="O44" s="14">
        <f t="shared" si="4"/>
        <v>1834.5106307368428</v>
      </c>
      <c r="P44" s="15">
        <f t="shared" si="5"/>
        <v>13047.368421052633</v>
      </c>
      <c r="Q44" s="32"/>
    </row>
    <row r="45" spans="1:17" ht="25.5" customHeight="1" x14ac:dyDescent="0.25">
      <c r="A45" s="31">
        <v>28</v>
      </c>
      <c r="B45" s="13" t="s">
        <v>137</v>
      </c>
      <c r="C45" s="13" t="s">
        <v>133</v>
      </c>
      <c r="D45" s="14">
        <v>3559.74</v>
      </c>
      <c r="E45" s="14">
        <f t="shared" si="10"/>
        <v>234.19342105263158</v>
      </c>
      <c r="F45" s="12">
        <f t="shared" si="11"/>
        <v>365</v>
      </c>
      <c r="G45" s="12">
        <f t="shared" si="12"/>
        <v>50</v>
      </c>
      <c r="H45" s="15">
        <f t="shared" si="13"/>
        <v>11709.671052631578</v>
      </c>
      <c r="I45" s="21">
        <f t="shared" si="0"/>
        <v>2886.6</v>
      </c>
      <c r="J45" s="15">
        <f t="shared" si="1"/>
        <v>8823.0710526315779</v>
      </c>
      <c r="K45" s="14">
        <v>1463.5425368421049</v>
      </c>
      <c r="L45" s="15">
        <f t="shared" si="2"/>
        <v>13173.213589473684</v>
      </c>
      <c r="M45" s="13"/>
      <c r="N45" s="14">
        <f t="shared" si="3"/>
        <v>1463.5425368421049</v>
      </c>
      <c r="O45" s="14">
        <f t="shared" si="4"/>
        <v>1463.5425368421049</v>
      </c>
      <c r="P45" s="15">
        <f t="shared" si="5"/>
        <v>11709.671052631578</v>
      </c>
      <c r="Q45" s="32"/>
    </row>
    <row r="46" spans="1:17" x14ac:dyDescent="0.25">
      <c r="A46" s="77"/>
      <c r="I46" s="75"/>
      <c r="J46" s="83"/>
      <c r="L46" s="83"/>
      <c r="P46" s="83"/>
      <c r="Q46" s="20"/>
    </row>
    <row r="47" spans="1:17" x14ac:dyDescent="0.25">
      <c r="A47" s="118" t="s">
        <v>297</v>
      </c>
      <c r="B47" s="119"/>
      <c r="C47" s="119"/>
      <c r="D47" s="84"/>
      <c r="E47" s="84"/>
      <c r="F47" s="84"/>
      <c r="G47" s="84"/>
      <c r="H47" s="84"/>
      <c r="I47" s="78"/>
      <c r="J47" s="85"/>
      <c r="K47" s="84"/>
      <c r="L47" s="85"/>
      <c r="M47" s="84"/>
      <c r="N47" s="84"/>
      <c r="O47" s="84"/>
      <c r="P47" s="85"/>
      <c r="Q47" s="61"/>
    </row>
    <row r="48" spans="1:17" ht="25.5" customHeight="1" x14ac:dyDescent="0.25">
      <c r="A48" s="31">
        <v>1</v>
      </c>
      <c r="B48" s="13" t="s">
        <v>138</v>
      </c>
      <c r="C48" s="13" t="s">
        <v>139</v>
      </c>
      <c r="D48" s="14">
        <v>6726</v>
      </c>
      <c r="E48" s="14">
        <f t="shared" ref="E48:E96" si="14">D48*2/30.4</f>
        <v>442.5</v>
      </c>
      <c r="F48" s="12">
        <f>16+30+31+30+31+31+30+31+30+31</f>
        <v>291</v>
      </c>
      <c r="G48" s="23">
        <f t="shared" ref="G48:G96" si="15">F48*50/365</f>
        <v>39.863013698630134</v>
      </c>
      <c r="H48" s="15">
        <f t="shared" ref="H48:H96" si="16">E48*G48</f>
        <v>17639.383561643834</v>
      </c>
      <c r="I48" s="21">
        <f t="shared" si="0"/>
        <v>2301.3715068493148</v>
      </c>
      <c r="J48" s="15">
        <f t="shared" si="1"/>
        <v>15338.012054794519</v>
      </c>
      <c r="K48" s="14">
        <v>3315.1102112876715</v>
      </c>
      <c r="L48" s="15">
        <f t="shared" si="2"/>
        <v>20954.493772931506</v>
      </c>
      <c r="M48" s="13"/>
      <c r="N48" s="14">
        <f t="shared" si="3"/>
        <v>3315.1102112876715</v>
      </c>
      <c r="O48" s="14">
        <f t="shared" si="4"/>
        <v>3315.1102112876715</v>
      </c>
      <c r="P48" s="15">
        <f t="shared" si="5"/>
        <v>17639.383561643834</v>
      </c>
      <c r="Q48" s="32"/>
    </row>
    <row r="49" spans="1:17" ht="25.5" customHeight="1" x14ac:dyDescent="0.25">
      <c r="A49" s="31">
        <v>2</v>
      </c>
      <c r="B49" s="13" t="s">
        <v>140</v>
      </c>
      <c r="C49" s="13" t="s">
        <v>141</v>
      </c>
      <c r="D49" s="65">
        <v>6111.18</v>
      </c>
      <c r="E49" s="65">
        <f>D49*2/30.4</f>
        <v>402.05131578947373</v>
      </c>
      <c r="F49" s="12">
        <v>365</v>
      </c>
      <c r="G49" s="23">
        <f t="shared" si="15"/>
        <v>50</v>
      </c>
      <c r="H49" s="15">
        <v>15976.17</v>
      </c>
      <c r="I49" s="66">
        <f t="shared" si="0"/>
        <v>2886.6</v>
      </c>
      <c r="J49" s="15">
        <f t="shared" si="1"/>
        <v>13089.57</v>
      </c>
      <c r="K49" s="65">
        <v>2458.7199999999998</v>
      </c>
      <c r="L49" s="15">
        <f t="shared" si="2"/>
        <v>18434.89</v>
      </c>
      <c r="M49" s="13"/>
      <c r="N49" s="65">
        <f t="shared" si="3"/>
        <v>2458.7199999999998</v>
      </c>
      <c r="O49" s="65">
        <f t="shared" si="4"/>
        <v>2458.7199999999998</v>
      </c>
      <c r="P49" s="15">
        <f t="shared" si="5"/>
        <v>15976.17</v>
      </c>
      <c r="Q49" s="32"/>
    </row>
    <row r="50" spans="1:17" ht="25.5" customHeight="1" x14ac:dyDescent="0.25">
      <c r="A50" s="31">
        <v>3</v>
      </c>
      <c r="B50" s="13" t="s">
        <v>142</v>
      </c>
      <c r="C50" s="13" t="s">
        <v>141</v>
      </c>
      <c r="D50" s="14">
        <v>3887.85</v>
      </c>
      <c r="E50" s="14">
        <f t="shared" si="14"/>
        <v>255.77960526315789</v>
      </c>
      <c r="F50" s="12">
        <f t="shared" ref="F50:F96" si="17">31+28+31+30+31+30+31+31+30+31+30+31</f>
        <v>365</v>
      </c>
      <c r="G50" s="12">
        <f t="shared" si="15"/>
        <v>50</v>
      </c>
      <c r="H50" s="15">
        <f t="shared" si="16"/>
        <v>12788.980263157895</v>
      </c>
      <c r="I50" s="21">
        <f t="shared" si="0"/>
        <v>2886.6</v>
      </c>
      <c r="J50" s="15">
        <f t="shared" si="1"/>
        <v>9902.3802631578947</v>
      </c>
      <c r="K50" s="14">
        <v>1762.8548402105266</v>
      </c>
      <c r="L50" s="15">
        <f t="shared" si="2"/>
        <v>14551.835103368421</v>
      </c>
      <c r="M50" s="13"/>
      <c r="N50" s="14">
        <f t="shared" si="3"/>
        <v>1762.8548402105266</v>
      </c>
      <c r="O50" s="14">
        <f t="shared" si="4"/>
        <v>1762.8548402105266</v>
      </c>
      <c r="P50" s="15">
        <f t="shared" si="5"/>
        <v>12788.980263157895</v>
      </c>
      <c r="Q50" s="32"/>
    </row>
    <row r="51" spans="1:17" ht="25.5" customHeight="1" x14ac:dyDescent="0.25">
      <c r="A51" s="31">
        <v>4</v>
      </c>
      <c r="B51" s="13" t="s">
        <v>143</v>
      </c>
      <c r="C51" s="13" t="s">
        <v>141</v>
      </c>
      <c r="D51" s="14">
        <v>4561.1000000000004</v>
      </c>
      <c r="E51" s="14">
        <f t="shared" si="14"/>
        <v>300.07236842105266</v>
      </c>
      <c r="F51" s="12">
        <f t="shared" si="17"/>
        <v>365</v>
      </c>
      <c r="G51" s="12">
        <f t="shared" si="15"/>
        <v>50</v>
      </c>
      <c r="H51" s="15">
        <f t="shared" si="16"/>
        <v>15003.618421052633</v>
      </c>
      <c r="I51" s="21">
        <f t="shared" si="0"/>
        <v>2886.6</v>
      </c>
      <c r="J51" s="15">
        <f t="shared" si="1"/>
        <v>12117.018421052633</v>
      </c>
      <c r="K51" s="14">
        <v>2377.0147507368424</v>
      </c>
      <c r="L51" s="15">
        <f t="shared" si="2"/>
        <v>17380.633171789475</v>
      </c>
      <c r="M51" s="13"/>
      <c r="N51" s="14">
        <f t="shared" si="3"/>
        <v>2377.0147507368424</v>
      </c>
      <c r="O51" s="14">
        <f t="shared" si="4"/>
        <v>2377.0147507368424</v>
      </c>
      <c r="P51" s="15">
        <f t="shared" si="5"/>
        <v>15003.618421052633</v>
      </c>
      <c r="Q51" s="32"/>
    </row>
    <row r="52" spans="1:17" ht="25.5" customHeight="1" x14ac:dyDescent="0.25">
      <c r="A52" s="31">
        <v>5</v>
      </c>
      <c r="B52" s="13" t="s">
        <v>144</v>
      </c>
      <c r="C52" s="13" t="s">
        <v>141</v>
      </c>
      <c r="D52" s="14">
        <v>4561.1000000000004</v>
      </c>
      <c r="E52" s="14">
        <f t="shared" si="14"/>
        <v>300.07236842105266</v>
      </c>
      <c r="F52" s="12">
        <f t="shared" si="17"/>
        <v>365</v>
      </c>
      <c r="G52" s="12">
        <f t="shared" si="15"/>
        <v>50</v>
      </c>
      <c r="H52" s="15">
        <f t="shared" si="16"/>
        <v>15003.618421052633</v>
      </c>
      <c r="I52" s="21">
        <f t="shared" si="0"/>
        <v>2886.6</v>
      </c>
      <c r="J52" s="15">
        <f t="shared" si="1"/>
        <v>12117.018421052633</v>
      </c>
      <c r="K52" s="14">
        <v>2377.0147507368424</v>
      </c>
      <c r="L52" s="15">
        <f t="shared" si="2"/>
        <v>17380.633171789475</v>
      </c>
      <c r="M52" s="13"/>
      <c r="N52" s="14">
        <f t="shared" si="3"/>
        <v>2377.0147507368424</v>
      </c>
      <c r="O52" s="14">
        <f t="shared" si="4"/>
        <v>2377.0147507368424</v>
      </c>
      <c r="P52" s="15">
        <f t="shared" si="5"/>
        <v>15003.618421052633</v>
      </c>
      <c r="Q52" s="32"/>
    </row>
    <row r="53" spans="1:17" ht="25.5" customHeight="1" x14ac:dyDescent="0.25">
      <c r="A53" s="31">
        <v>6</v>
      </c>
      <c r="B53" s="13" t="s">
        <v>145</v>
      </c>
      <c r="C53" s="13" t="s">
        <v>141</v>
      </c>
      <c r="D53" s="14">
        <v>4907.08</v>
      </c>
      <c r="E53" s="14">
        <f t="shared" si="14"/>
        <v>322.83421052631581</v>
      </c>
      <c r="F53" s="12">
        <f t="shared" si="17"/>
        <v>365</v>
      </c>
      <c r="G53" s="12">
        <f t="shared" si="15"/>
        <v>50</v>
      </c>
      <c r="H53" s="15">
        <f t="shared" si="16"/>
        <v>16141.71052631579</v>
      </c>
      <c r="I53" s="21">
        <f t="shared" si="0"/>
        <v>2886.6</v>
      </c>
      <c r="J53" s="15">
        <f t="shared" si="1"/>
        <v>13255.11052631579</v>
      </c>
      <c r="K53" s="14">
        <v>2682.413656421053</v>
      </c>
      <c r="L53" s="15">
        <f t="shared" si="2"/>
        <v>18824.124182736843</v>
      </c>
      <c r="M53" s="13"/>
      <c r="N53" s="14">
        <f t="shared" si="3"/>
        <v>2682.413656421053</v>
      </c>
      <c r="O53" s="14">
        <f t="shared" si="4"/>
        <v>2682.413656421053</v>
      </c>
      <c r="P53" s="15">
        <f t="shared" si="5"/>
        <v>16141.71052631579</v>
      </c>
      <c r="Q53" s="32"/>
    </row>
    <row r="54" spans="1:17" ht="25.5" customHeight="1" x14ac:dyDescent="0.25">
      <c r="A54" s="31">
        <v>7</v>
      </c>
      <c r="B54" s="13" t="s">
        <v>146</v>
      </c>
      <c r="C54" s="13" t="s">
        <v>147</v>
      </c>
      <c r="D54" s="14">
        <v>3819.41</v>
      </c>
      <c r="E54" s="14">
        <f t="shared" si="14"/>
        <v>251.27697368421053</v>
      </c>
      <c r="F54" s="12">
        <f t="shared" si="17"/>
        <v>365</v>
      </c>
      <c r="G54" s="12">
        <f t="shared" si="15"/>
        <v>50</v>
      </c>
      <c r="H54" s="15">
        <f t="shared" si="16"/>
        <v>12563.848684210527</v>
      </c>
      <c r="I54" s="21">
        <f t="shared" si="0"/>
        <v>2886.6</v>
      </c>
      <c r="J54" s="15">
        <f t="shared" si="1"/>
        <v>9677.2486842105263</v>
      </c>
      <c r="K54" s="14">
        <v>1700.4217109473689</v>
      </c>
      <c r="L54" s="15">
        <f t="shared" si="2"/>
        <v>14264.270395157895</v>
      </c>
      <c r="M54" s="13"/>
      <c r="N54" s="14">
        <f t="shared" si="3"/>
        <v>1700.4217109473689</v>
      </c>
      <c r="O54" s="14">
        <f t="shared" si="4"/>
        <v>1700.4217109473689</v>
      </c>
      <c r="P54" s="15">
        <f t="shared" si="5"/>
        <v>12563.848684210527</v>
      </c>
      <c r="Q54" s="32"/>
    </row>
    <row r="55" spans="1:17" ht="25.5" customHeight="1" x14ac:dyDescent="0.25">
      <c r="A55" s="31">
        <v>8</v>
      </c>
      <c r="B55" s="13" t="s">
        <v>148</v>
      </c>
      <c r="C55" s="13" t="s">
        <v>147</v>
      </c>
      <c r="D55" s="14">
        <v>3390.64</v>
      </c>
      <c r="E55" s="14">
        <f t="shared" si="14"/>
        <v>223.06842105263158</v>
      </c>
      <c r="F55" s="12">
        <f t="shared" si="17"/>
        <v>365</v>
      </c>
      <c r="G55" s="12">
        <f t="shared" si="15"/>
        <v>50</v>
      </c>
      <c r="H55" s="15">
        <f t="shared" si="16"/>
        <v>11153.421052631578</v>
      </c>
      <c r="I55" s="21">
        <f t="shared" si="0"/>
        <v>2886.6</v>
      </c>
      <c r="J55" s="15">
        <f t="shared" si="1"/>
        <v>8266.8210526315779</v>
      </c>
      <c r="K55" s="14">
        <v>1309.2841768421049</v>
      </c>
      <c r="L55" s="15">
        <f t="shared" si="2"/>
        <v>12462.705229473682</v>
      </c>
      <c r="M55" s="13"/>
      <c r="N55" s="14">
        <f t="shared" si="3"/>
        <v>1309.2841768421049</v>
      </c>
      <c r="O55" s="14">
        <f t="shared" si="4"/>
        <v>1309.2841768421049</v>
      </c>
      <c r="P55" s="15">
        <f t="shared" si="5"/>
        <v>11153.421052631576</v>
      </c>
      <c r="Q55" s="32"/>
    </row>
    <row r="56" spans="1:17" ht="25.5" customHeight="1" x14ac:dyDescent="0.25">
      <c r="A56" s="31">
        <v>9</v>
      </c>
      <c r="B56" s="13" t="s">
        <v>149</v>
      </c>
      <c r="C56" s="13" t="s">
        <v>117</v>
      </c>
      <c r="D56" s="14">
        <v>7555.9</v>
      </c>
      <c r="E56" s="14">
        <f t="shared" si="14"/>
        <v>497.0986842105263</v>
      </c>
      <c r="F56" s="12">
        <f t="shared" si="17"/>
        <v>365</v>
      </c>
      <c r="G56" s="12">
        <f t="shared" si="15"/>
        <v>50</v>
      </c>
      <c r="H56" s="15">
        <f t="shared" si="16"/>
        <v>24854.934210526317</v>
      </c>
      <c r="I56" s="21">
        <f t="shared" si="0"/>
        <v>2886.6</v>
      </c>
      <c r="J56" s="15">
        <f t="shared" si="1"/>
        <v>21968.334210526318</v>
      </c>
      <c r="K56" s="14">
        <v>4910.4136623157901</v>
      </c>
      <c r="L56" s="15">
        <f t="shared" si="2"/>
        <v>29765.347872842107</v>
      </c>
      <c r="M56" s="13"/>
      <c r="N56" s="14">
        <f t="shared" si="3"/>
        <v>4910.4136623157901</v>
      </c>
      <c r="O56" s="14">
        <f t="shared" si="4"/>
        <v>4910.4136623157901</v>
      </c>
      <c r="P56" s="15">
        <f t="shared" si="5"/>
        <v>24854.934210526317</v>
      </c>
      <c r="Q56" s="32"/>
    </row>
    <row r="57" spans="1:17" ht="25.5" customHeight="1" x14ac:dyDescent="0.25">
      <c r="A57" s="31">
        <v>10</v>
      </c>
      <c r="B57" s="13" t="s">
        <v>150</v>
      </c>
      <c r="C57" s="13" t="s">
        <v>151</v>
      </c>
      <c r="D57" s="65">
        <v>6111.18</v>
      </c>
      <c r="E57" s="65">
        <f t="shared" si="14"/>
        <v>402.05131578947373</v>
      </c>
      <c r="F57" s="12">
        <v>365</v>
      </c>
      <c r="G57" s="23">
        <f t="shared" si="15"/>
        <v>50</v>
      </c>
      <c r="H57" s="15">
        <v>17802.009999999998</v>
      </c>
      <c r="I57" s="66">
        <f t="shared" si="0"/>
        <v>2886.6</v>
      </c>
      <c r="J57" s="15">
        <f t="shared" si="1"/>
        <v>14915.409999999998</v>
      </c>
      <c r="K57" s="65">
        <v>2997.18</v>
      </c>
      <c r="L57" s="15">
        <f t="shared" si="2"/>
        <v>20799.189999999999</v>
      </c>
      <c r="M57" s="13"/>
      <c r="N57" s="65">
        <f t="shared" si="3"/>
        <v>2997.18</v>
      </c>
      <c r="O57" s="65">
        <f t="shared" si="4"/>
        <v>2997.18</v>
      </c>
      <c r="P57" s="15">
        <f t="shared" si="5"/>
        <v>17802.009999999998</v>
      </c>
      <c r="Q57" s="32"/>
    </row>
    <row r="58" spans="1:17" ht="25.5" customHeight="1" x14ac:dyDescent="0.25">
      <c r="A58" s="31">
        <v>11</v>
      </c>
      <c r="B58" s="13" t="s">
        <v>152</v>
      </c>
      <c r="C58" s="13" t="s">
        <v>153</v>
      </c>
      <c r="D58" s="14">
        <v>3844.09</v>
      </c>
      <c r="E58" s="14">
        <f t="shared" si="14"/>
        <v>252.90065789473687</v>
      </c>
      <c r="F58" s="12">
        <f t="shared" si="17"/>
        <v>365</v>
      </c>
      <c r="G58" s="12">
        <f t="shared" si="15"/>
        <v>50</v>
      </c>
      <c r="H58" s="15">
        <f t="shared" si="16"/>
        <v>12645.032894736843</v>
      </c>
      <c r="I58" s="21">
        <f t="shared" si="0"/>
        <v>2886.6</v>
      </c>
      <c r="J58" s="15">
        <f t="shared" si="1"/>
        <v>9758.4328947368431</v>
      </c>
      <c r="K58" s="14">
        <v>1722.9355863157894</v>
      </c>
      <c r="L58" s="15">
        <f t="shared" si="2"/>
        <v>14367.968481052632</v>
      </c>
      <c r="M58" s="13"/>
      <c r="N58" s="14">
        <f t="shared" si="3"/>
        <v>1722.9355863157894</v>
      </c>
      <c r="O58" s="14">
        <f t="shared" si="4"/>
        <v>1722.9355863157894</v>
      </c>
      <c r="P58" s="15">
        <f t="shared" si="5"/>
        <v>12645.032894736843</v>
      </c>
      <c r="Q58" s="32"/>
    </row>
    <row r="59" spans="1:17" ht="25.5" customHeight="1" x14ac:dyDescent="0.25">
      <c r="A59" s="31">
        <v>12</v>
      </c>
      <c r="B59" s="13" t="s">
        <v>154</v>
      </c>
      <c r="C59" s="13" t="s">
        <v>153</v>
      </c>
      <c r="D59" s="14">
        <v>6650</v>
      </c>
      <c r="E59" s="14">
        <f t="shared" si="14"/>
        <v>437.5</v>
      </c>
      <c r="F59" s="12">
        <f t="shared" si="17"/>
        <v>365</v>
      </c>
      <c r="G59" s="12">
        <f t="shared" si="15"/>
        <v>50</v>
      </c>
      <c r="H59" s="15">
        <f t="shared" si="16"/>
        <v>21875</v>
      </c>
      <c r="I59" s="21">
        <f t="shared" si="0"/>
        <v>2886.6</v>
      </c>
      <c r="J59" s="15">
        <f t="shared" si="1"/>
        <v>18988.400000000001</v>
      </c>
      <c r="K59" s="14">
        <v>4167.5962240000008</v>
      </c>
      <c r="L59" s="15">
        <f t="shared" si="2"/>
        <v>26042.596224000001</v>
      </c>
      <c r="M59" s="13"/>
      <c r="N59" s="14">
        <f t="shared" si="3"/>
        <v>4167.5962240000008</v>
      </c>
      <c r="O59" s="14">
        <f t="shared" si="4"/>
        <v>4167.5962240000008</v>
      </c>
      <c r="P59" s="15">
        <f t="shared" si="5"/>
        <v>21875</v>
      </c>
      <c r="Q59" s="32"/>
    </row>
    <row r="60" spans="1:17" ht="25.5" customHeight="1" x14ac:dyDescent="0.25">
      <c r="A60" s="31">
        <v>13</v>
      </c>
      <c r="B60" s="13" t="s">
        <v>155</v>
      </c>
      <c r="C60" s="13" t="s">
        <v>153</v>
      </c>
      <c r="D60" s="14">
        <v>3372.7</v>
      </c>
      <c r="E60" s="14">
        <f t="shared" si="14"/>
        <v>221.88815789473685</v>
      </c>
      <c r="F60" s="12">
        <f t="shared" si="17"/>
        <v>365</v>
      </c>
      <c r="G60" s="12">
        <f t="shared" si="15"/>
        <v>50</v>
      </c>
      <c r="H60" s="15">
        <f t="shared" si="16"/>
        <v>11094.407894736842</v>
      </c>
      <c r="I60" s="21">
        <f t="shared" si="0"/>
        <v>2886.6</v>
      </c>
      <c r="J60" s="15">
        <f t="shared" si="1"/>
        <v>8207.8078947368413</v>
      </c>
      <c r="K60" s="14">
        <v>1292.9187423157894</v>
      </c>
      <c r="L60" s="15">
        <f t="shared" si="2"/>
        <v>12387.326637052631</v>
      </c>
      <c r="M60" s="13"/>
      <c r="N60" s="14">
        <f t="shared" si="3"/>
        <v>1292.9187423157894</v>
      </c>
      <c r="O60" s="14">
        <f t="shared" si="4"/>
        <v>1292.9187423157894</v>
      </c>
      <c r="P60" s="15">
        <f t="shared" si="5"/>
        <v>11094.407894736842</v>
      </c>
      <c r="Q60" s="32"/>
    </row>
    <row r="61" spans="1:17" ht="25.5" customHeight="1" x14ac:dyDescent="0.25">
      <c r="A61" s="31">
        <v>14</v>
      </c>
      <c r="B61" s="13" t="s">
        <v>156</v>
      </c>
      <c r="C61" s="13" t="s">
        <v>153</v>
      </c>
      <c r="D61" s="14">
        <v>3723</v>
      </c>
      <c r="E61" s="14">
        <f t="shared" si="14"/>
        <v>244.93421052631581</v>
      </c>
      <c r="F61" s="12">
        <f t="shared" si="17"/>
        <v>365</v>
      </c>
      <c r="G61" s="12">
        <f t="shared" si="15"/>
        <v>50</v>
      </c>
      <c r="H61" s="15">
        <f t="shared" si="16"/>
        <v>12246.71052631579</v>
      </c>
      <c r="I61" s="21">
        <f t="shared" si="0"/>
        <v>2886.6</v>
      </c>
      <c r="J61" s="15">
        <f t="shared" si="1"/>
        <v>9360.1105263157897</v>
      </c>
      <c r="K61" s="14">
        <v>1612.4734644210523</v>
      </c>
      <c r="L61" s="15">
        <f t="shared" si="2"/>
        <v>13859.183990736843</v>
      </c>
      <c r="M61" s="13"/>
      <c r="N61" s="14">
        <f t="shared" si="3"/>
        <v>1612.4734644210523</v>
      </c>
      <c r="O61" s="14">
        <f t="shared" si="4"/>
        <v>1612.4734644210523</v>
      </c>
      <c r="P61" s="15">
        <f t="shared" si="5"/>
        <v>12246.71052631579</v>
      </c>
      <c r="Q61" s="32"/>
    </row>
    <row r="62" spans="1:17" ht="25.5" customHeight="1" x14ac:dyDescent="0.25">
      <c r="A62" s="31">
        <v>15</v>
      </c>
      <c r="B62" s="13" t="s">
        <v>157</v>
      </c>
      <c r="C62" s="13" t="s">
        <v>153</v>
      </c>
      <c r="D62" s="14">
        <v>3457.97</v>
      </c>
      <c r="E62" s="14">
        <f t="shared" si="14"/>
        <v>227.49802631578947</v>
      </c>
      <c r="F62" s="12">
        <f t="shared" si="17"/>
        <v>365</v>
      </c>
      <c r="G62" s="12">
        <f t="shared" si="15"/>
        <v>50</v>
      </c>
      <c r="H62" s="15">
        <f t="shared" si="16"/>
        <v>11374.901315789473</v>
      </c>
      <c r="I62" s="21">
        <f t="shared" si="0"/>
        <v>2886.6</v>
      </c>
      <c r="J62" s="15">
        <f t="shared" si="1"/>
        <v>8488.3013157894729</v>
      </c>
      <c r="K62" s="14">
        <v>1370.7047290526316</v>
      </c>
      <c r="L62" s="15">
        <f t="shared" si="2"/>
        <v>12745.606044842105</v>
      </c>
      <c r="M62" s="13"/>
      <c r="N62" s="14">
        <f t="shared" si="3"/>
        <v>1370.7047290526316</v>
      </c>
      <c r="O62" s="14">
        <f t="shared" si="4"/>
        <v>1370.7047290526316</v>
      </c>
      <c r="P62" s="15">
        <f t="shared" si="5"/>
        <v>11374.901315789473</v>
      </c>
      <c r="Q62" s="32"/>
    </row>
    <row r="63" spans="1:17" ht="25.5" customHeight="1" x14ac:dyDescent="0.25">
      <c r="A63" s="31">
        <v>16</v>
      </c>
      <c r="B63" s="13" t="s">
        <v>158</v>
      </c>
      <c r="C63" s="13" t="s">
        <v>153</v>
      </c>
      <c r="D63" s="14">
        <v>3973.11</v>
      </c>
      <c r="E63" s="14">
        <f t="shared" si="14"/>
        <v>261.38881578947371</v>
      </c>
      <c r="F63" s="12">
        <f t="shared" si="17"/>
        <v>365</v>
      </c>
      <c r="G63" s="12">
        <f t="shared" si="15"/>
        <v>50</v>
      </c>
      <c r="H63" s="15">
        <f t="shared" si="16"/>
        <v>13069.440789473685</v>
      </c>
      <c r="I63" s="21">
        <f t="shared" si="0"/>
        <v>2886.6</v>
      </c>
      <c r="J63" s="15">
        <f t="shared" si="1"/>
        <v>10182.840789473685</v>
      </c>
      <c r="K63" s="14">
        <v>1840.6317046315794</v>
      </c>
      <c r="L63" s="15">
        <f t="shared" si="2"/>
        <v>14910.072494105265</v>
      </c>
      <c r="M63" s="13"/>
      <c r="N63" s="14">
        <f t="shared" si="3"/>
        <v>1840.6317046315794</v>
      </c>
      <c r="O63" s="14">
        <f t="shared" si="4"/>
        <v>1840.6317046315794</v>
      </c>
      <c r="P63" s="15">
        <f t="shared" si="5"/>
        <v>13069.440789473685</v>
      </c>
      <c r="Q63" s="32"/>
    </row>
    <row r="64" spans="1:17" ht="25.5" customHeight="1" x14ac:dyDescent="0.25">
      <c r="A64" s="31">
        <v>17</v>
      </c>
      <c r="B64" s="13" t="s">
        <v>159</v>
      </c>
      <c r="C64" s="13" t="s">
        <v>153</v>
      </c>
      <c r="D64" s="14">
        <v>3989</v>
      </c>
      <c r="E64" s="14">
        <f t="shared" si="14"/>
        <v>262.43421052631578</v>
      </c>
      <c r="F64" s="12">
        <f t="shared" si="17"/>
        <v>365</v>
      </c>
      <c r="G64" s="12">
        <f t="shared" si="15"/>
        <v>50</v>
      </c>
      <c r="H64" s="15">
        <f t="shared" si="16"/>
        <v>13121.710526315788</v>
      </c>
      <c r="I64" s="21">
        <f t="shared" si="0"/>
        <v>2886.6</v>
      </c>
      <c r="J64" s="15">
        <f t="shared" si="1"/>
        <v>10235.110526315788</v>
      </c>
      <c r="K64" s="14">
        <v>1855.1270644210526</v>
      </c>
      <c r="L64" s="15">
        <f t="shared" si="2"/>
        <v>14976.837590736841</v>
      </c>
      <c r="M64" s="13"/>
      <c r="N64" s="14">
        <f t="shared" si="3"/>
        <v>1855.1270644210526</v>
      </c>
      <c r="O64" s="14">
        <f t="shared" si="4"/>
        <v>1855.1270644210526</v>
      </c>
      <c r="P64" s="15">
        <f t="shared" si="5"/>
        <v>13121.710526315788</v>
      </c>
      <c r="Q64" s="32"/>
    </row>
    <row r="65" spans="1:17" ht="25.5" customHeight="1" x14ac:dyDescent="0.25">
      <c r="A65" s="31">
        <v>18</v>
      </c>
      <c r="B65" s="13" t="s">
        <v>160</v>
      </c>
      <c r="C65" s="13" t="s">
        <v>153</v>
      </c>
      <c r="D65" s="14">
        <v>5026.13</v>
      </c>
      <c r="E65" s="14">
        <f t="shared" si="14"/>
        <v>330.66644736842107</v>
      </c>
      <c r="F65" s="12">
        <f t="shared" si="17"/>
        <v>365</v>
      </c>
      <c r="G65" s="12">
        <f t="shared" si="15"/>
        <v>50</v>
      </c>
      <c r="H65" s="15">
        <f t="shared" si="16"/>
        <v>16533.322368421053</v>
      </c>
      <c r="I65" s="21">
        <f t="shared" si="0"/>
        <v>2886.6</v>
      </c>
      <c r="J65" s="15">
        <f t="shared" si="1"/>
        <v>13646.722368421053</v>
      </c>
      <c r="K65" s="14">
        <v>2778.8241058947369</v>
      </c>
      <c r="L65" s="15">
        <f t="shared" si="2"/>
        <v>19312.146474315792</v>
      </c>
      <c r="M65" s="13"/>
      <c r="N65" s="14">
        <f t="shared" si="3"/>
        <v>2778.8241058947369</v>
      </c>
      <c r="O65" s="14">
        <f t="shared" si="4"/>
        <v>2778.8241058947369</v>
      </c>
      <c r="P65" s="15">
        <f t="shared" si="5"/>
        <v>16533.322368421053</v>
      </c>
      <c r="Q65" s="32"/>
    </row>
    <row r="66" spans="1:17" ht="25.5" customHeight="1" x14ac:dyDescent="0.25">
      <c r="A66" s="31">
        <v>19</v>
      </c>
      <c r="B66" s="13" t="s">
        <v>161</v>
      </c>
      <c r="C66" s="13" t="s">
        <v>162</v>
      </c>
      <c r="D66" s="14">
        <v>4561.1000000000004</v>
      </c>
      <c r="E66" s="14">
        <f t="shared" si="14"/>
        <v>300.07236842105266</v>
      </c>
      <c r="F66" s="12">
        <f t="shared" si="17"/>
        <v>365</v>
      </c>
      <c r="G66" s="12">
        <f t="shared" si="15"/>
        <v>50</v>
      </c>
      <c r="H66" s="15">
        <f t="shared" si="16"/>
        <v>15003.618421052633</v>
      </c>
      <c r="I66" s="21">
        <f t="shared" si="0"/>
        <v>2886.6</v>
      </c>
      <c r="J66" s="15">
        <f t="shared" si="1"/>
        <v>12117.018421052633</v>
      </c>
      <c r="K66" s="14">
        <v>2377.0147507368424</v>
      </c>
      <c r="L66" s="15">
        <f t="shared" si="2"/>
        <v>17380.633171789475</v>
      </c>
      <c r="M66" s="13"/>
      <c r="N66" s="14">
        <f t="shared" si="3"/>
        <v>2377.0147507368424</v>
      </c>
      <c r="O66" s="14">
        <f t="shared" si="4"/>
        <v>2377.0147507368424</v>
      </c>
      <c r="P66" s="15">
        <f t="shared" si="5"/>
        <v>15003.618421052633</v>
      </c>
      <c r="Q66" s="32"/>
    </row>
    <row r="67" spans="1:17" ht="25.5" customHeight="1" x14ac:dyDescent="0.25">
      <c r="A67" s="31">
        <v>20</v>
      </c>
      <c r="B67" s="13" t="s">
        <v>163</v>
      </c>
      <c r="C67" s="13" t="s">
        <v>162</v>
      </c>
      <c r="D67" s="14">
        <v>4112.2700000000004</v>
      </c>
      <c r="E67" s="14">
        <f t="shared" si="14"/>
        <v>270.54407894736846</v>
      </c>
      <c r="F67" s="12">
        <f t="shared" si="17"/>
        <v>365</v>
      </c>
      <c r="G67" s="12">
        <f t="shared" si="15"/>
        <v>50</v>
      </c>
      <c r="H67" s="15">
        <f t="shared" si="16"/>
        <v>13527.203947368424</v>
      </c>
      <c r="I67" s="21">
        <f t="shared" si="0"/>
        <v>2886.6</v>
      </c>
      <c r="J67" s="15">
        <f t="shared" si="1"/>
        <v>10640.603947368423</v>
      </c>
      <c r="K67" s="14">
        <v>1967.5778511578953</v>
      </c>
      <c r="L67" s="15">
        <f t="shared" si="2"/>
        <v>15494.781798526319</v>
      </c>
      <c r="M67" s="13"/>
      <c r="N67" s="14">
        <f t="shared" si="3"/>
        <v>1967.5778511578953</v>
      </c>
      <c r="O67" s="14">
        <f t="shared" si="4"/>
        <v>1967.5778511578953</v>
      </c>
      <c r="P67" s="15">
        <f t="shared" si="5"/>
        <v>13527.203947368424</v>
      </c>
      <c r="Q67" s="32"/>
    </row>
    <row r="68" spans="1:17" ht="25.5" customHeight="1" thickBot="1" x14ac:dyDescent="0.3">
      <c r="A68" s="36">
        <v>21</v>
      </c>
      <c r="B68" s="37" t="s">
        <v>164</v>
      </c>
      <c r="C68" s="37" t="s">
        <v>133</v>
      </c>
      <c r="D68" s="38">
        <v>3186.44</v>
      </c>
      <c r="E68" s="38">
        <f t="shared" si="14"/>
        <v>209.6342105263158</v>
      </c>
      <c r="F68" s="39">
        <f t="shared" si="17"/>
        <v>365</v>
      </c>
      <c r="G68" s="39">
        <f t="shared" si="15"/>
        <v>50</v>
      </c>
      <c r="H68" s="41">
        <f t="shared" si="16"/>
        <v>10481.71052631579</v>
      </c>
      <c r="I68" s="47">
        <f t="shared" si="0"/>
        <v>2886.6</v>
      </c>
      <c r="J68" s="41">
        <f t="shared" si="1"/>
        <v>7595.1105263157897</v>
      </c>
      <c r="K68" s="38">
        <v>1123.0064884210524</v>
      </c>
      <c r="L68" s="41">
        <f t="shared" si="2"/>
        <v>11604.717014736842</v>
      </c>
      <c r="M68" s="37"/>
      <c r="N68" s="38">
        <f t="shared" si="3"/>
        <v>1123.0064884210524</v>
      </c>
      <c r="O68" s="38">
        <f t="shared" si="4"/>
        <v>1123.0064884210524</v>
      </c>
      <c r="P68" s="41">
        <f t="shared" si="5"/>
        <v>10481.71052631579</v>
      </c>
      <c r="Q68" s="42"/>
    </row>
    <row r="69" spans="1:17" ht="25.5" customHeight="1" x14ac:dyDescent="0.25">
      <c r="A69" s="69">
        <v>22</v>
      </c>
      <c r="B69" s="70" t="s">
        <v>165</v>
      </c>
      <c r="C69" s="70" t="s">
        <v>166</v>
      </c>
      <c r="D69" s="71">
        <v>3974.25</v>
      </c>
      <c r="E69" s="71">
        <f t="shared" si="14"/>
        <v>261.4638157894737</v>
      </c>
      <c r="F69" s="72">
        <f t="shared" si="17"/>
        <v>365</v>
      </c>
      <c r="G69" s="72">
        <f t="shared" si="15"/>
        <v>50</v>
      </c>
      <c r="H69" s="73">
        <f t="shared" si="16"/>
        <v>13073.190789473685</v>
      </c>
      <c r="I69" s="76">
        <f t="shared" ref="I69:I96" si="18">F69*30/365*96.22</f>
        <v>2886.6</v>
      </c>
      <c r="J69" s="73">
        <f t="shared" ref="J69:J96" si="19">H69-I69</f>
        <v>10186.590789473685</v>
      </c>
      <c r="K69" s="71">
        <v>1841.6716486315788</v>
      </c>
      <c r="L69" s="73">
        <f t="shared" ref="L69:L96" si="20">H69+K69</f>
        <v>14914.862438105263</v>
      </c>
      <c r="M69" s="70"/>
      <c r="N69" s="71">
        <f t="shared" ref="N69:N96" si="21">K69</f>
        <v>1841.6716486315788</v>
      </c>
      <c r="O69" s="71">
        <f t="shared" ref="O69:O96" si="22">N69</f>
        <v>1841.6716486315788</v>
      </c>
      <c r="P69" s="73">
        <f t="shared" ref="P69:P96" si="23">L69-O69</f>
        <v>13073.190789473685</v>
      </c>
      <c r="Q69" s="74"/>
    </row>
    <row r="70" spans="1:17" ht="25.5" customHeight="1" x14ac:dyDescent="0.25">
      <c r="A70" s="59">
        <v>23</v>
      </c>
      <c r="B70" s="55" t="s">
        <v>167</v>
      </c>
      <c r="C70" s="55" t="s">
        <v>166</v>
      </c>
      <c r="D70" s="56">
        <v>3804.82</v>
      </c>
      <c r="E70" s="56">
        <f t="shared" si="14"/>
        <v>250.31710526315791</v>
      </c>
      <c r="F70" s="54">
        <f t="shared" si="17"/>
        <v>365</v>
      </c>
      <c r="G70" s="54">
        <f t="shared" si="15"/>
        <v>50</v>
      </c>
      <c r="H70" s="57">
        <f t="shared" si="16"/>
        <v>12515.855263157895</v>
      </c>
      <c r="I70" s="58">
        <f t="shared" si="18"/>
        <v>2886.6</v>
      </c>
      <c r="J70" s="57">
        <f t="shared" si="19"/>
        <v>9629.2552631578947</v>
      </c>
      <c r="K70" s="56">
        <v>1687.1122522105263</v>
      </c>
      <c r="L70" s="57">
        <f t="shared" si="20"/>
        <v>14202.967515368422</v>
      </c>
      <c r="M70" s="55"/>
      <c r="N70" s="56">
        <f t="shared" si="21"/>
        <v>1687.1122522105263</v>
      </c>
      <c r="O70" s="56">
        <f t="shared" si="22"/>
        <v>1687.1122522105263</v>
      </c>
      <c r="P70" s="57">
        <f t="shared" si="23"/>
        <v>12515.855263157895</v>
      </c>
      <c r="Q70" s="60"/>
    </row>
    <row r="71" spans="1:17" ht="25.5" customHeight="1" x14ac:dyDescent="0.25">
      <c r="A71" s="31">
        <v>24</v>
      </c>
      <c r="B71" s="13" t="s">
        <v>168</v>
      </c>
      <c r="C71" s="13" t="s">
        <v>169</v>
      </c>
      <c r="D71" s="14">
        <v>3395.15</v>
      </c>
      <c r="E71" s="14">
        <f t="shared" si="14"/>
        <v>223.3651315789474</v>
      </c>
      <c r="F71" s="12">
        <f t="shared" si="17"/>
        <v>365</v>
      </c>
      <c r="G71" s="12">
        <f t="shared" si="15"/>
        <v>50</v>
      </c>
      <c r="H71" s="15">
        <f t="shared" si="16"/>
        <v>11168.25657894737</v>
      </c>
      <c r="I71" s="21">
        <f t="shared" si="18"/>
        <v>2886.6</v>
      </c>
      <c r="J71" s="15">
        <f t="shared" si="19"/>
        <v>8281.6565789473698</v>
      </c>
      <c r="K71" s="14">
        <v>1313.3983412631585</v>
      </c>
      <c r="L71" s="15">
        <f t="shared" si="20"/>
        <v>12481.654920210529</v>
      </c>
      <c r="M71" s="13"/>
      <c r="N71" s="14">
        <f t="shared" si="21"/>
        <v>1313.3983412631585</v>
      </c>
      <c r="O71" s="14">
        <f t="shared" si="22"/>
        <v>1313.3983412631585</v>
      </c>
      <c r="P71" s="15">
        <f t="shared" si="23"/>
        <v>11168.25657894737</v>
      </c>
      <c r="Q71" s="32"/>
    </row>
    <row r="72" spans="1:17" ht="25.5" customHeight="1" x14ac:dyDescent="0.25">
      <c r="A72" s="31">
        <v>25</v>
      </c>
      <c r="B72" s="13" t="s">
        <v>170</v>
      </c>
      <c r="C72" s="13" t="s">
        <v>169</v>
      </c>
      <c r="D72" s="14">
        <v>4257.0200000000004</v>
      </c>
      <c r="E72" s="14">
        <f t="shared" si="14"/>
        <v>280.06710526315794</v>
      </c>
      <c r="F72" s="12">
        <f t="shared" si="17"/>
        <v>365</v>
      </c>
      <c r="G72" s="12">
        <f t="shared" si="15"/>
        <v>50</v>
      </c>
      <c r="H72" s="15">
        <f t="shared" si="16"/>
        <v>14003.355263157897</v>
      </c>
      <c r="I72" s="21">
        <f t="shared" si="18"/>
        <v>2886.6</v>
      </c>
      <c r="J72" s="15">
        <f t="shared" si="19"/>
        <v>11116.755263157896</v>
      </c>
      <c r="K72" s="14">
        <v>2099.6233722105262</v>
      </c>
      <c r="L72" s="15">
        <f t="shared" si="20"/>
        <v>16102.978635368423</v>
      </c>
      <c r="M72" s="13"/>
      <c r="N72" s="14">
        <f t="shared" si="21"/>
        <v>2099.6233722105262</v>
      </c>
      <c r="O72" s="14">
        <f t="shared" si="22"/>
        <v>2099.6233722105262</v>
      </c>
      <c r="P72" s="15">
        <f t="shared" si="23"/>
        <v>14003.355263157897</v>
      </c>
      <c r="Q72" s="32"/>
    </row>
    <row r="73" spans="1:17" ht="25.5" customHeight="1" x14ac:dyDescent="0.25">
      <c r="A73" s="31">
        <v>26</v>
      </c>
      <c r="B73" s="13" t="s">
        <v>171</v>
      </c>
      <c r="C73" s="13" t="s">
        <v>153</v>
      </c>
      <c r="D73" s="14">
        <v>7659</v>
      </c>
      <c r="E73" s="14">
        <f t="shared" si="14"/>
        <v>503.88157894736844</v>
      </c>
      <c r="F73" s="12">
        <f t="shared" si="17"/>
        <v>365</v>
      </c>
      <c r="G73" s="12">
        <f t="shared" si="15"/>
        <v>50</v>
      </c>
      <c r="H73" s="15">
        <f t="shared" si="16"/>
        <v>25194.078947368424</v>
      </c>
      <c r="I73" s="21">
        <f t="shared" si="18"/>
        <v>2886.6</v>
      </c>
      <c r="J73" s="15">
        <f t="shared" si="19"/>
        <v>22307.478947368425</v>
      </c>
      <c r="K73" s="14">
        <v>4994.6344244210522</v>
      </c>
      <c r="L73" s="15">
        <f t="shared" si="20"/>
        <v>30188.713371789476</v>
      </c>
      <c r="M73" s="13"/>
      <c r="N73" s="14">
        <f t="shared" si="21"/>
        <v>4994.6344244210522</v>
      </c>
      <c r="O73" s="14">
        <f t="shared" si="22"/>
        <v>4994.6344244210522</v>
      </c>
      <c r="P73" s="15">
        <f t="shared" si="23"/>
        <v>25194.078947368424</v>
      </c>
      <c r="Q73" s="32"/>
    </row>
    <row r="74" spans="1:17" ht="25.5" customHeight="1" x14ac:dyDescent="0.25">
      <c r="A74" s="31">
        <v>27</v>
      </c>
      <c r="B74" s="13" t="s">
        <v>172</v>
      </c>
      <c r="C74" s="13" t="s">
        <v>169</v>
      </c>
      <c r="D74" s="14">
        <v>4257.0200000000004</v>
      </c>
      <c r="E74" s="14">
        <f t="shared" si="14"/>
        <v>280.06710526315794</v>
      </c>
      <c r="F74" s="12">
        <f t="shared" si="17"/>
        <v>365</v>
      </c>
      <c r="G74" s="12">
        <f t="shared" si="15"/>
        <v>50</v>
      </c>
      <c r="H74" s="15">
        <f t="shared" si="16"/>
        <v>14003.355263157897</v>
      </c>
      <c r="I74" s="21">
        <f t="shared" si="18"/>
        <v>2886.6</v>
      </c>
      <c r="J74" s="15">
        <f t="shared" si="19"/>
        <v>11116.755263157896</v>
      </c>
      <c r="K74" s="14">
        <v>2099.6191802105263</v>
      </c>
      <c r="L74" s="15">
        <f t="shared" si="20"/>
        <v>16102.974443368423</v>
      </c>
      <c r="M74" s="13"/>
      <c r="N74" s="14">
        <f t="shared" si="21"/>
        <v>2099.6191802105263</v>
      </c>
      <c r="O74" s="14">
        <f t="shared" si="22"/>
        <v>2099.6191802105263</v>
      </c>
      <c r="P74" s="15">
        <f t="shared" si="23"/>
        <v>14003.355263157897</v>
      </c>
      <c r="Q74" s="32"/>
    </row>
    <row r="75" spans="1:17" ht="25.5" customHeight="1" x14ac:dyDescent="0.25">
      <c r="A75" s="31">
        <v>28</v>
      </c>
      <c r="B75" s="13" t="s">
        <v>173</v>
      </c>
      <c r="C75" s="13" t="s">
        <v>169</v>
      </c>
      <c r="D75" s="14">
        <v>4380.45</v>
      </c>
      <c r="E75" s="14">
        <f t="shared" si="14"/>
        <v>288.1875</v>
      </c>
      <c r="F75" s="12">
        <f t="shared" si="17"/>
        <v>365</v>
      </c>
      <c r="G75" s="12">
        <f t="shared" si="15"/>
        <v>50</v>
      </c>
      <c r="H75" s="15">
        <f t="shared" si="16"/>
        <v>14409.375</v>
      </c>
      <c r="I75" s="21">
        <f t="shared" si="18"/>
        <v>2886.6</v>
      </c>
      <c r="J75" s="15">
        <f t="shared" si="19"/>
        <v>11522.775</v>
      </c>
      <c r="K75" s="14">
        <v>2212.2201160000004</v>
      </c>
      <c r="L75" s="15">
        <f t="shared" si="20"/>
        <v>16621.595116</v>
      </c>
      <c r="M75" s="13"/>
      <c r="N75" s="14">
        <f t="shared" si="21"/>
        <v>2212.2201160000004</v>
      </c>
      <c r="O75" s="14">
        <f t="shared" si="22"/>
        <v>2212.2201160000004</v>
      </c>
      <c r="P75" s="15">
        <f t="shared" si="23"/>
        <v>14409.375</v>
      </c>
      <c r="Q75" s="32"/>
    </row>
    <row r="76" spans="1:17" ht="25.5" customHeight="1" x14ac:dyDescent="0.25">
      <c r="A76" s="31">
        <v>29</v>
      </c>
      <c r="B76" s="13" t="s">
        <v>174</v>
      </c>
      <c r="C76" s="13" t="s">
        <v>169</v>
      </c>
      <c r="D76" s="14">
        <v>4252.51</v>
      </c>
      <c r="E76" s="14">
        <f t="shared" si="14"/>
        <v>279.77039473684215</v>
      </c>
      <c r="F76" s="12">
        <f t="shared" si="17"/>
        <v>365</v>
      </c>
      <c r="G76" s="12">
        <f t="shared" si="15"/>
        <v>50</v>
      </c>
      <c r="H76" s="15">
        <f t="shared" si="16"/>
        <v>13988.519736842107</v>
      </c>
      <c r="I76" s="21">
        <f t="shared" si="18"/>
        <v>2886.6</v>
      </c>
      <c r="J76" s="15">
        <f t="shared" si="19"/>
        <v>11101.919736842106</v>
      </c>
      <c r="K76" s="14">
        <v>2095.5092077894742</v>
      </c>
      <c r="L76" s="15">
        <f t="shared" si="20"/>
        <v>16084.02894463158</v>
      </c>
      <c r="M76" s="13"/>
      <c r="N76" s="14">
        <f t="shared" si="21"/>
        <v>2095.5092077894742</v>
      </c>
      <c r="O76" s="14">
        <f t="shared" si="22"/>
        <v>2095.5092077894742</v>
      </c>
      <c r="P76" s="15">
        <f t="shared" si="23"/>
        <v>13988.519736842107</v>
      </c>
      <c r="Q76" s="32"/>
    </row>
    <row r="77" spans="1:17" ht="25.5" customHeight="1" x14ac:dyDescent="0.25">
      <c r="A77" s="31">
        <v>30</v>
      </c>
      <c r="B77" s="13" t="s">
        <v>175</v>
      </c>
      <c r="C77" s="13" t="s">
        <v>176</v>
      </c>
      <c r="D77" s="14">
        <v>4303.01</v>
      </c>
      <c r="E77" s="14">
        <f t="shared" si="14"/>
        <v>283.09276315789475</v>
      </c>
      <c r="F77" s="12">
        <f t="shared" si="17"/>
        <v>365</v>
      </c>
      <c r="G77" s="12">
        <f t="shared" si="15"/>
        <v>50</v>
      </c>
      <c r="H77" s="15">
        <f t="shared" si="16"/>
        <v>14154.638157894737</v>
      </c>
      <c r="I77" s="21">
        <f t="shared" si="18"/>
        <v>2886.6</v>
      </c>
      <c r="J77" s="15">
        <f t="shared" si="19"/>
        <v>11268.038157894736</v>
      </c>
      <c r="K77" s="14">
        <v>2141.5769025263162</v>
      </c>
      <c r="L77" s="15">
        <f t="shared" si="20"/>
        <v>16296.215060421053</v>
      </c>
      <c r="M77" s="13"/>
      <c r="N77" s="14">
        <f t="shared" si="21"/>
        <v>2141.5769025263162</v>
      </c>
      <c r="O77" s="14">
        <f t="shared" si="22"/>
        <v>2141.5769025263162</v>
      </c>
      <c r="P77" s="15">
        <f t="shared" si="23"/>
        <v>14154.638157894737</v>
      </c>
      <c r="Q77" s="32"/>
    </row>
    <row r="78" spans="1:17" ht="25.5" customHeight="1" x14ac:dyDescent="0.25">
      <c r="A78" s="31">
        <v>31</v>
      </c>
      <c r="B78" s="13" t="s">
        <v>177</v>
      </c>
      <c r="C78" s="13" t="s">
        <v>178</v>
      </c>
      <c r="D78" s="14">
        <v>3348</v>
      </c>
      <c r="E78" s="14">
        <f t="shared" si="14"/>
        <v>220.26315789473685</v>
      </c>
      <c r="F78" s="12">
        <f t="shared" si="17"/>
        <v>365</v>
      </c>
      <c r="G78" s="12">
        <f t="shared" si="15"/>
        <v>50</v>
      </c>
      <c r="H78" s="15">
        <f t="shared" si="16"/>
        <v>11013.157894736842</v>
      </c>
      <c r="I78" s="21">
        <f t="shared" si="18"/>
        <v>2886.6</v>
      </c>
      <c r="J78" s="15">
        <f t="shared" si="19"/>
        <v>8126.5578947368413</v>
      </c>
      <c r="K78" s="14">
        <v>1270.3866223157893</v>
      </c>
      <c r="L78" s="15">
        <f t="shared" si="20"/>
        <v>12283.544517052631</v>
      </c>
      <c r="M78" s="13"/>
      <c r="N78" s="14">
        <f t="shared" si="21"/>
        <v>1270.3866223157893</v>
      </c>
      <c r="O78" s="14">
        <f t="shared" si="22"/>
        <v>1270.3866223157893</v>
      </c>
      <c r="P78" s="15">
        <f t="shared" si="23"/>
        <v>11013.157894736842</v>
      </c>
      <c r="Q78" s="32"/>
    </row>
    <row r="79" spans="1:17" ht="25.5" customHeight="1" x14ac:dyDescent="0.25">
      <c r="A79" s="31">
        <v>32</v>
      </c>
      <c r="B79" s="13" t="s">
        <v>179</v>
      </c>
      <c r="C79" s="13" t="s">
        <v>76</v>
      </c>
      <c r="D79" s="14">
        <v>2500</v>
      </c>
      <c r="E79" s="14">
        <f t="shared" si="14"/>
        <v>164.47368421052633</v>
      </c>
      <c r="F79" s="12">
        <f t="shared" si="17"/>
        <v>365</v>
      </c>
      <c r="G79" s="12">
        <f t="shared" si="15"/>
        <v>50</v>
      </c>
      <c r="H79" s="15">
        <f t="shared" si="16"/>
        <v>8223.6842105263167</v>
      </c>
      <c r="I79" s="21">
        <f t="shared" si="18"/>
        <v>2886.6</v>
      </c>
      <c r="J79" s="15">
        <f t="shared" si="19"/>
        <v>5337.0842105263164</v>
      </c>
      <c r="K79" s="14">
        <v>596.56003368421057</v>
      </c>
      <c r="L79" s="15">
        <f t="shared" si="20"/>
        <v>8820.2442442105275</v>
      </c>
      <c r="M79" s="13"/>
      <c r="N79" s="14">
        <f t="shared" si="21"/>
        <v>596.56003368421057</v>
      </c>
      <c r="O79" s="14">
        <f t="shared" si="22"/>
        <v>596.56003368421057</v>
      </c>
      <c r="P79" s="15">
        <f t="shared" si="23"/>
        <v>8223.6842105263167</v>
      </c>
      <c r="Q79" s="32"/>
    </row>
    <row r="80" spans="1:17" ht="25.5" customHeight="1" x14ac:dyDescent="0.25">
      <c r="A80" s="31">
        <v>33</v>
      </c>
      <c r="B80" s="13" t="s">
        <v>180</v>
      </c>
      <c r="C80" s="13" t="s">
        <v>181</v>
      </c>
      <c r="D80" s="14">
        <v>2690</v>
      </c>
      <c r="E80" s="14">
        <f t="shared" si="14"/>
        <v>176.97368421052633</v>
      </c>
      <c r="F80" s="12">
        <f t="shared" si="17"/>
        <v>365</v>
      </c>
      <c r="G80" s="12">
        <f t="shared" si="15"/>
        <v>50</v>
      </c>
      <c r="H80" s="15">
        <f t="shared" si="16"/>
        <v>8848.6842105263167</v>
      </c>
      <c r="I80" s="21">
        <f t="shared" si="18"/>
        <v>2886.6</v>
      </c>
      <c r="J80" s="15">
        <f t="shared" si="19"/>
        <v>5962.0842105263164</v>
      </c>
      <c r="K80" s="14">
        <v>736.21315452631598</v>
      </c>
      <c r="L80" s="15">
        <f t="shared" si="20"/>
        <v>9584.8973650526332</v>
      </c>
      <c r="M80" s="13"/>
      <c r="N80" s="14">
        <f t="shared" si="21"/>
        <v>736.21315452631598</v>
      </c>
      <c r="O80" s="14">
        <f t="shared" si="22"/>
        <v>736.21315452631598</v>
      </c>
      <c r="P80" s="15">
        <f t="shared" si="23"/>
        <v>8848.6842105263167</v>
      </c>
      <c r="Q80" s="32"/>
    </row>
    <row r="81" spans="1:17" ht="25.5" customHeight="1" x14ac:dyDescent="0.25">
      <c r="A81" s="31">
        <v>34</v>
      </c>
      <c r="B81" s="13" t="s">
        <v>182</v>
      </c>
      <c r="C81" s="13" t="s">
        <v>183</v>
      </c>
      <c r="D81" s="14">
        <v>3357</v>
      </c>
      <c r="E81" s="14">
        <f t="shared" si="14"/>
        <v>220.85526315789474</v>
      </c>
      <c r="F81" s="12">
        <f t="shared" si="17"/>
        <v>365</v>
      </c>
      <c r="G81" s="12">
        <f t="shared" si="15"/>
        <v>50</v>
      </c>
      <c r="H81" s="15">
        <f t="shared" si="16"/>
        <v>11042.763157894737</v>
      </c>
      <c r="I81" s="21">
        <f t="shared" si="18"/>
        <v>2886.6</v>
      </c>
      <c r="J81" s="15">
        <f>H81-I81</f>
        <v>8156.1631578947363</v>
      </c>
      <c r="K81" s="14">
        <v>1332.5967065263158</v>
      </c>
      <c r="L81" s="15">
        <f t="shared" si="20"/>
        <v>12375.359864421052</v>
      </c>
      <c r="M81" s="13"/>
      <c r="N81" s="14">
        <f t="shared" si="21"/>
        <v>1332.5967065263158</v>
      </c>
      <c r="O81" s="14">
        <f t="shared" si="22"/>
        <v>1332.5967065263158</v>
      </c>
      <c r="P81" s="15">
        <f t="shared" si="23"/>
        <v>11042.763157894737</v>
      </c>
      <c r="Q81" s="32"/>
    </row>
    <row r="82" spans="1:17" ht="25.5" customHeight="1" x14ac:dyDescent="0.25">
      <c r="A82" s="31">
        <v>35</v>
      </c>
      <c r="B82" s="13" t="s">
        <v>184</v>
      </c>
      <c r="C82" s="13" t="s">
        <v>183</v>
      </c>
      <c r="D82" s="14">
        <v>3838.48</v>
      </c>
      <c r="E82" s="14">
        <f t="shared" si="14"/>
        <v>252.53157894736844</v>
      </c>
      <c r="F82" s="12">
        <f t="shared" si="17"/>
        <v>365</v>
      </c>
      <c r="G82" s="12">
        <f t="shared" si="15"/>
        <v>50</v>
      </c>
      <c r="H82" s="15">
        <f t="shared" si="16"/>
        <v>12626.578947368422</v>
      </c>
      <c r="I82" s="21">
        <f t="shared" si="18"/>
        <v>2886.6</v>
      </c>
      <c r="J82" s="15">
        <f t="shared" si="19"/>
        <v>9739.9789473684214</v>
      </c>
      <c r="K82" s="14">
        <v>1771.8179671578948</v>
      </c>
      <c r="L82" s="15">
        <f t="shared" si="20"/>
        <v>14398.396914526316</v>
      </c>
      <c r="M82" s="13"/>
      <c r="N82" s="14">
        <f t="shared" si="21"/>
        <v>1771.8179671578948</v>
      </c>
      <c r="O82" s="14">
        <f t="shared" si="22"/>
        <v>1771.8179671578948</v>
      </c>
      <c r="P82" s="15">
        <f t="shared" si="23"/>
        <v>12626.578947368422</v>
      </c>
      <c r="Q82" s="32"/>
    </row>
    <row r="83" spans="1:17" ht="25.5" customHeight="1" x14ac:dyDescent="0.25">
      <c r="A83" s="31">
        <v>36</v>
      </c>
      <c r="B83" s="13" t="s">
        <v>185</v>
      </c>
      <c r="C83" s="13" t="s">
        <v>183</v>
      </c>
      <c r="D83" s="14">
        <v>3844.09</v>
      </c>
      <c r="E83" s="14">
        <f t="shared" si="14"/>
        <v>252.90065789473687</v>
      </c>
      <c r="F83" s="12">
        <f t="shared" si="17"/>
        <v>365</v>
      </c>
      <c r="G83" s="12">
        <f t="shared" si="15"/>
        <v>50</v>
      </c>
      <c r="H83" s="15">
        <f t="shared" si="16"/>
        <v>12645.032894736843</v>
      </c>
      <c r="I83" s="21">
        <f t="shared" si="18"/>
        <v>2886.6</v>
      </c>
      <c r="J83" s="15">
        <f t="shared" si="19"/>
        <v>9758.4328947368431</v>
      </c>
      <c r="K83" s="14">
        <v>1776.9355863157894</v>
      </c>
      <c r="L83" s="15">
        <f t="shared" si="20"/>
        <v>14421.968481052632</v>
      </c>
      <c r="M83" s="13"/>
      <c r="N83" s="14">
        <f t="shared" si="21"/>
        <v>1776.9355863157894</v>
      </c>
      <c r="O83" s="14">
        <f t="shared" si="22"/>
        <v>1776.9355863157894</v>
      </c>
      <c r="P83" s="15">
        <f t="shared" si="23"/>
        <v>12645.032894736843</v>
      </c>
      <c r="Q83" s="32"/>
    </row>
    <row r="84" spans="1:17" ht="25.5" customHeight="1" x14ac:dyDescent="0.25">
      <c r="A84" s="31">
        <v>37</v>
      </c>
      <c r="B84" s="13" t="s">
        <v>186</v>
      </c>
      <c r="C84" s="13" t="s">
        <v>183</v>
      </c>
      <c r="D84" s="14">
        <v>2834.95</v>
      </c>
      <c r="E84" s="14">
        <f t="shared" si="14"/>
        <v>186.50986842105263</v>
      </c>
      <c r="F84" s="12">
        <f t="shared" si="17"/>
        <v>365</v>
      </c>
      <c r="G84" s="12">
        <f t="shared" si="15"/>
        <v>50</v>
      </c>
      <c r="H84" s="15">
        <f t="shared" si="16"/>
        <v>9325.4934210526317</v>
      </c>
      <c r="I84" s="21">
        <f t="shared" si="18"/>
        <v>2886.6</v>
      </c>
      <c r="J84" s="15">
        <f t="shared" si="19"/>
        <v>6438.8934210526313</v>
      </c>
      <c r="K84" s="14">
        <v>578.3398113684209</v>
      </c>
      <c r="L84" s="15">
        <f t="shared" si="20"/>
        <v>9903.8332324210533</v>
      </c>
      <c r="M84" s="13"/>
      <c r="N84" s="14">
        <f t="shared" si="21"/>
        <v>578.3398113684209</v>
      </c>
      <c r="O84" s="14">
        <f t="shared" si="22"/>
        <v>578.3398113684209</v>
      </c>
      <c r="P84" s="15">
        <f t="shared" si="23"/>
        <v>9325.4934210526317</v>
      </c>
      <c r="Q84" s="32"/>
    </row>
    <row r="85" spans="1:17" ht="25.5" customHeight="1" x14ac:dyDescent="0.25">
      <c r="A85" s="31">
        <v>38</v>
      </c>
      <c r="B85" s="13" t="s">
        <v>187</v>
      </c>
      <c r="C85" s="13" t="s">
        <v>183</v>
      </c>
      <c r="D85" s="14">
        <v>3813.78</v>
      </c>
      <c r="E85" s="14">
        <f t="shared" si="14"/>
        <v>250.90657894736844</v>
      </c>
      <c r="F85" s="12">
        <f t="shared" si="17"/>
        <v>365</v>
      </c>
      <c r="G85" s="12">
        <f t="shared" si="15"/>
        <v>50</v>
      </c>
      <c r="H85" s="15">
        <f t="shared" si="16"/>
        <v>12545.328947368422</v>
      </c>
      <c r="I85" s="21">
        <f t="shared" si="18"/>
        <v>2886.6</v>
      </c>
      <c r="J85" s="15">
        <f t="shared" si="19"/>
        <v>9658.7289473684214</v>
      </c>
      <c r="K85" s="14">
        <v>1695.2858471578952</v>
      </c>
      <c r="L85" s="15">
        <f t="shared" si="20"/>
        <v>14240.614794526316</v>
      </c>
      <c r="M85" s="13"/>
      <c r="N85" s="14">
        <f t="shared" si="21"/>
        <v>1695.2858471578952</v>
      </c>
      <c r="O85" s="14">
        <f t="shared" si="22"/>
        <v>1695.2858471578952</v>
      </c>
      <c r="P85" s="15">
        <f t="shared" si="23"/>
        <v>12545.328947368422</v>
      </c>
      <c r="Q85" s="32"/>
    </row>
    <row r="86" spans="1:17" ht="25.5" customHeight="1" x14ac:dyDescent="0.25">
      <c r="A86" s="31">
        <v>39</v>
      </c>
      <c r="B86" s="13" t="s">
        <v>188</v>
      </c>
      <c r="C86" s="13" t="s">
        <v>183</v>
      </c>
      <c r="D86" s="14">
        <v>2593.0500000000002</v>
      </c>
      <c r="E86" s="14">
        <f t="shared" si="14"/>
        <v>170.59539473684214</v>
      </c>
      <c r="F86" s="12">
        <f t="shared" si="17"/>
        <v>365</v>
      </c>
      <c r="G86" s="12">
        <f t="shared" si="15"/>
        <v>50</v>
      </c>
      <c r="H86" s="15">
        <f t="shared" si="16"/>
        <v>8529.7697368421068</v>
      </c>
      <c r="I86" s="21">
        <f t="shared" si="18"/>
        <v>2886.6</v>
      </c>
      <c r="J86" s="15">
        <f t="shared" si="19"/>
        <v>5643.1697368421064</v>
      </c>
      <c r="K86" s="14">
        <v>663.39931789473712</v>
      </c>
      <c r="L86" s="15">
        <f t="shared" si="20"/>
        <v>9193.1690547368435</v>
      </c>
      <c r="M86" s="13"/>
      <c r="N86" s="14">
        <f t="shared" si="21"/>
        <v>663.39931789473712</v>
      </c>
      <c r="O86" s="14">
        <f t="shared" si="22"/>
        <v>663.39931789473712</v>
      </c>
      <c r="P86" s="15">
        <f t="shared" si="23"/>
        <v>8529.7697368421068</v>
      </c>
      <c r="Q86" s="32"/>
    </row>
    <row r="87" spans="1:17" ht="25.5" customHeight="1" x14ac:dyDescent="0.25">
      <c r="A87" s="31">
        <v>40</v>
      </c>
      <c r="B87" s="13" t="s">
        <v>189</v>
      </c>
      <c r="C87" s="13" t="s">
        <v>183</v>
      </c>
      <c r="D87" s="14">
        <v>3813.78</v>
      </c>
      <c r="E87" s="14">
        <f t="shared" si="14"/>
        <v>250.90657894736844</v>
      </c>
      <c r="F87" s="12">
        <f t="shared" si="17"/>
        <v>365</v>
      </c>
      <c r="G87" s="12">
        <f t="shared" si="15"/>
        <v>50</v>
      </c>
      <c r="H87" s="15">
        <f t="shared" si="16"/>
        <v>12545.328947368422</v>
      </c>
      <c r="I87" s="21">
        <f t="shared" si="18"/>
        <v>2886.6</v>
      </c>
      <c r="J87" s="15">
        <f t="shared" si="19"/>
        <v>9658.7289473684214</v>
      </c>
      <c r="K87" s="14">
        <v>1695.2858471578952</v>
      </c>
      <c r="L87" s="15">
        <f t="shared" si="20"/>
        <v>14240.614794526316</v>
      </c>
      <c r="M87" s="13"/>
      <c r="N87" s="14">
        <f t="shared" si="21"/>
        <v>1695.2858471578952</v>
      </c>
      <c r="O87" s="14">
        <f t="shared" si="22"/>
        <v>1695.2858471578952</v>
      </c>
      <c r="P87" s="15">
        <f t="shared" si="23"/>
        <v>12545.328947368422</v>
      </c>
      <c r="Q87" s="32"/>
    </row>
    <row r="88" spans="1:17" ht="25.5" customHeight="1" x14ac:dyDescent="0.25">
      <c r="A88" s="31">
        <v>41</v>
      </c>
      <c r="B88" s="13" t="s">
        <v>190</v>
      </c>
      <c r="C88" s="13" t="s">
        <v>183</v>
      </c>
      <c r="D88" s="14">
        <v>3396.25</v>
      </c>
      <c r="E88" s="14">
        <f t="shared" si="14"/>
        <v>223.4375</v>
      </c>
      <c r="F88" s="12">
        <f t="shared" si="17"/>
        <v>365</v>
      </c>
      <c r="G88" s="12">
        <f t="shared" si="15"/>
        <v>50</v>
      </c>
      <c r="H88" s="15">
        <f t="shared" si="16"/>
        <v>11171.875</v>
      </c>
      <c r="I88" s="21">
        <f t="shared" si="18"/>
        <v>2886.6</v>
      </c>
      <c r="J88" s="15">
        <f t="shared" si="19"/>
        <v>8285.2749999999996</v>
      </c>
      <c r="K88" s="14">
        <v>1314.4017960000001</v>
      </c>
      <c r="L88" s="15">
        <f t="shared" si="20"/>
        <v>12486.276796</v>
      </c>
      <c r="M88" s="13"/>
      <c r="N88" s="14">
        <f t="shared" si="21"/>
        <v>1314.4017960000001</v>
      </c>
      <c r="O88" s="14">
        <f t="shared" si="22"/>
        <v>1314.4017960000001</v>
      </c>
      <c r="P88" s="15">
        <f t="shared" si="23"/>
        <v>11171.875</v>
      </c>
      <c r="Q88" s="32"/>
    </row>
    <row r="89" spans="1:17" ht="25.5" customHeight="1" x14ac:dyDescent="0.25">
      <c r="A89" s="31">
        <v>42</v>
      </c>
      <c r="B89" s="13" t="s">
        <v>191</v>
      </c>
      <c r="C89" s="13" t="s">
        <v>192</v>
      </c>
      <c r="D89" s="14">
        <v>2593.0500000000002</v>
      </c>
      <c r="E89" s="14">
        <f t="shared" si="14"/>
        <v>170.59539473684214</v>
      </c>
      <c r="F89" s="12">
        <f t="shared" si="17"/>
        <v>365</v>
      </c>
      <c r="G89" s="12">
        <f t="shared" si="15"/>
        <v>50</v>
      </c>
      <c r="H89" s="15">
        <f t="shared" si="16"/>
        <v>8529.7697368421068</v>
      </c>
      <c r="I89" s="21">
        <f t="shared" si="18"/>
        <v>2886.6</v>
      </c>
      <c r="J89" s="15">
        <f t="shared" si="19"/>
        <v>5643.1697368421064</v>
      </c>
      <c r="K89" s="14">
        <v>663.39931789473712</v>
      </c>
      <c r="L89" s="15">
        <f t="shared" si="20"/>
        <v>9193.1690547368435</v>
      </c>
      <c r="M89" s="13"/>
      <c r="N89" s="14">
        <f t="shared" si="21"/>
        <v>663.39931789473712</v>
      </c>
      <c r="O89" s="14">
        <f t="shared" si="22"/>
        <v>663.39931789473712</v>
      </c>
      <c r="P89" s="15">
        <f t="shared" si="23"/>
        <v>8529.7697368421068</v>
      </c>
      <c r="Q89" s="32"/>
    </row>
    <row r="90" spans="1:17" ht="25.5" customHeight="1" x14ac:dyDescent="0.25">
      <c r="A90" s="31">
        <v>43</v>
      </c>
      <c r="B90" s="13" t="s">
        <v>193</v>
      </c>
      <c r="C90" s="13" t="s">
        <v>194</v>
      </c>
      <c r="D90" s="14">
        <v>4355</v>
      </c>
      <c r="E90" s="14">
        <f t="shared" si="14"/>
        <v>286.51315789473688</v>
      </c>
      <c r="F90" s="12">
        <f t="shared" si="17"/>
        <v>365</v>
      </c>
      <c r="G90" s="12">
        <f t="shared" si="15"/>
        <v>50</v>
      </c>
      <c r="H90" s="15">
        <f t="shared" si="16"/>
        <v>14325.657894736843</v>
      </c>
      <c r="I90" s="21">
        <f t="shared" si="18"/>
        <v>2886.6</v>
      </c>
      <c r="J90" s="15">
        <f t="shared" si="19"/>
        <v>11439.057894736843</v>
      </c>
      <c r="K90" s="14">
        <v>2189.0038223157894</v>
      </c>
      <c r="L90" s="15">
        <f t="shared" si="20"/>
        <v>16514.661717052633</v>
      </c>
      <c r="M90" s="13"/>
      <c r="N90" s="14">
        <f t="shared" si="21"/>
        <v>2189.0038223157894</v>
      </c>
      <c r="O90" s="14">
        <f t="shared" si="22"/>
        <v>2189.0038223157894</v>
      </c>
      <c r="P90" s="15">
        <f t="shared" si="23"/>
        <v>14325.657894736843</v>
      </c>
      <c r="Q90" s="32"/>
    </row>
    <row r="91" spans="1:17" ht="25.5" customHeight="1" x14ac:dyDescent="0.25">
      <c r="A91" s="31">
        <v>44</v>
      </c>
      <c r="B91" s="13" t="s">
        <v>195</v>
      </c>
      <c r="C91" s="13" t="s">
        <v>194</v>
      </c>
      <c r="D91" s="14">
        <v>3775.64</v>
      </c>
      <c r="E91" s="14">
        <f t="shared" si="14"/>
        <v>248.39736842105265</v>
      </c>
      <c r="F91" s="12">
        <f t="shared" si="17"/>
        <v>365</v>
      </c>
      <c r="G91" s="12">
        <f t="shared" si="15"/>
        <v>50</v>
      </c>
      <c r="H91" s="15">
        <f t="shared" si="16"/>
        <v>12419.868421052632</v>
      </c>
      <c r="I91" s="21">
        <f t="shared" si="18"/>
        <v>2886.6</v>
      </c>
      <c r="J91" s="15">
        <f t="shared" si="19"/>
        <v>9533.2684210526313</v>
      </c>
      <c r="K91" s="14">
        <v>1660.4933347368421</v>
      </c>
      <c r="L91" s="15">
        <f t="shared" si="20"/>
        <v>14080.361755789474</v>
      </c>
      <c r="M91" s="13"/>
      <c r="N91" s="14">
        <f t="shared" si="21"/>
        <v>1660.4933347368421</v>
      </c>
      <c r="O91" s="14">
        <f t="shared" si="22"/>
        <v>1660.4933347368421</v>
      </c>
      <c r="P91" s="15">
        <f t="shared" si="23"/>
        <v>12419.868421052632</v>
      </c>
      <c r="Q91" s="32"/>
    </row>
    <row r="92" spans="1:17" ht="25.5" customHeight="1" x14ac:dyDescent="0.25">
      <c r="A92" s="31">
        <v>45</v>
      </c>
      <c r="B92" s="13" t="s">
        <v>196</v>
      </c>
      <c r="C92" s="13" t="s">
        <v>197</v>
      </c>
      <c r="D92" s="14">
        <v>4907.08</v>
      </c>
      <c r="E92" s="14">
        <f t="shared" si="14"/>
        <v>322.83421052631581</v>
      </c>
      <c r="F92" s="12">
        <f t="shared" si="17"/>
        <v>365</v>
      </c>
      <c r="G92" s="12">
        <f t="shared" si="15"/>
        <v>50</v>
      </c>
      <c r="H92" s="15">
        <f t="shared" si="16"/>
        <v>16141.71052631579</v>
      </c>
      <c r="I92" s="21">
        <f t="shared" si="18"/>
        <v>2886.6</v>
      </c>
      <c r="J92" s="15">
        <f t="shared" si="19"/>
        <v>13255.11052631579</v>
      </c>
      <c r="K92" s="14">
        <v>2682.413656421053</v>
      </c>
      <c r="L92" s="15">
        <f t="shared" si="20"/>
        <v>18824.124182736843</v>
      </c>
      <c r="M92" s="13"/>
      <c r="N92" s="14">
        <f t="shared" si="21"/>
        <v>2682.413656421053</v>
      </c>
      <c r="O92" s="14">
        <f t="shared" si="22"/>
        <v>2682.413656421053</v>
      </c>
      <c r="P92" s="15">
        <f t="shared" si="23"/>
        <v>16141.71052631579</v>
      </c>
      <c r="Q92" s="32"/>
    </row>
    <row r="93" spans="1:17" ht="25.5" customHeight="1" x14ac:dyDescent="0.25">
      <c r="A93" s="31">
        <v>46</v>
      </c>
      <c r="B93" s="13" t="s">
        <v>198</v>
      </c>
      <c r="C93" s="13" t="s">
        <v>199</v>
      </c>
      <c r="D93" s="14">
        <v>4253.63</v>
      </c>
      <c r="E93" s="14">
        <f t="shared" si="14"/>
        <v>279.84407894736842</v>
      </c>
      <c r="F93" s="12">
        <f t="shared" si="17"/>
        <v>365</v>
      </c>
      <c r="G93" s="12">
        <f t="shared" si="15"/>
        <v>50</v>
      </c>
      <c r="H93" s="15">
        <f t="shared" si="16"/>
        <v>13992.20394736842</v>
      </c>
      <c r="I93" s="21">
        <f t="shared" si="18"/>
        <v>2886.6</v>
      </c>
      <c r="J93" s="15">
        <f t="shared" si="19"/>
        <v>11105.60394736842</v>
      </c>
      <c r="K93" s="14">
        <v>2096.5309071578949</v>
      </c>
      <c r="L93" s="15">
        <f t="shared" si="20"/>
        <v>16088.734854526316</v>
      </c>
      <c r="M93" s="13"/>
      <c r="N93" s="14">
        <f t="shared" si="21"/>
        <v>2096.5309071578949</v>
      </c>
      <c r="O93" s="14">
        <f t="shared" si="22"/>
        <v>2096.5309071578949</v>
      </c>
      <c r="P93" s="15">
        <f t="shared" si="23"/>
        <v>13992.20394736842</v>
      </c>
      <c r="Q93" s="32"/>
    </row>
    <row r="94" spans="1:17" ht="25.5" customHeight="1" x14ac:dyDescent="0.25">
      <c r="A94" s="31">
        <v>47</v>
      </c>
      <c r="B94" s="13" t="s">
        <v>200</v>
      </c>
      <c r="C94" s="13" t="s">
        <v>201</v>
      </c>
      <c r="D94" s="14">
        <v>3325.19</v>
      </c>
      <c r="E94" s="14">
        <f t="shared" si="14"/>
        <v>218.76250000000002</v>
      </c>
      <c r="F94" s="12">
        <f>31+30+31+31+30+31+30+31</f>
        <v>245</v>
      </c>
      <c r="G94" s="23">
        <f t="shared" si="15"/>
        <v>33.561643835616437</v>
      </c>
      <c r="H94" s="15">
        <f t="shared" si="16"/>
        <v>7342.0291095890416</v>
      </c>
      <c r="I94" s="21">
        <f t="shared" si="18"/>
        <v>1937.5808219178082</v>
      </c>
      <c r="J94" s="15">
        <f t="shared" si="19"/>
        <v>5404.4482876712336</v>
      </c>
      <c r="K94" s="14">
        <v>729.79897315068513</v>
      </c>
      <c r="L94" s="15">
        <f t="shared" si="20"/>
        <v>8071.8280827397266</v>
      </c>
      <c r="M94" s="13"/>
      <c r="N94" s="13">
        <f t="shared" si="21"/>
        <v>729.79897315068513</v>
      </c>
      <c r="O94" s="13">
        <f t="shared" si="22"/>
        <v>729.79897315068513</v>
      </c>
      <c r="P94" s="15">
        <f t="shared" si="23"/>
        <v>7342.0291095890416</v>
      </c>
      <c r="Q94" s="32"/>
    </row>
    <row r="95" spans="1:17" ht="25.5" customHeight="1" x14ac:dyDescent="0.25">
      <c r="A95" s="31">
        <v>48</v>
      </c>
      <c r="B95" s="13" t="s">
        <v>202</v>
      </c>
      <c r="C95" s="13" t="s">
        <v>203</v>
      </c>
      <c r="D95" s="14">
        <v>4245.78</v>
      </c>
      <c r="E95" s="14">
        <f t="shared" si="14"/>
        <v>279.32763157894738</v>
      </c>
      <c r="F95" s="12">
        <f t="shared" si="17"/>
        <v>365</v>
      </c>
      <c r="G95" s="12">
        <f t="shared" si="15"/>
        <v>50</v>
      </c>
      <c r="H95" s="15">
        <f t="shared" si="16"/>
        <v>13966.381578947368</v>
      </c>
      <c r="I95" s="21">
        <f t="shared" si="18"/>
        <v>2886.6</v>
      </c>
      <c r="J95" s="15">
        <f t="shared" si="19"/>
        <v>11079.781578947368</v>
      </c>
      <c r="K95" s="14">
        <v>2089.3698892631573</v>
      </c>
      <c r="L95" s="15">
        <f t="shared" si="20"/>
        <v>16055.751468210525</v>
      </c>
      <c r="M95" s="13"/>
      <c r="N95" s="14">
        <f t="shared" si="21"/>
        <v>2089.3698892631573</v>
      </c>
      <c r="O95" s="14">
        <f t="shared" si="22"/>
        <v>2089.3698892631573</v>
      </c>
      <c r="P95" s="15">
        <f t="shared" si="23"/>
        <v>13966.381578947367</v>
      </c>
      <c r="Q95" s="32"/>
    </row>
    <row r="96" spans="1:17" ht="25.5" customHeight="1" thickBot="1" x14ac:dyDescent="0.3">
      <c r="A96" s="36">
        <v>49</v>
      </c>
      <c r="B96" s="37" t="s">
        <v>204</v>
      </c>
      <c r="C96" s="37" t="s">
        <v>205</v>
      </c>
      <c r="D96" s="38">
        <v>2593.0500000000002</v>
      </c>
      <c r="E96" s="38">
        <f t="shared" si="14"/>
        <v>170.59539473684214</v>
      </c>
      <c r="F96" s="39">
        <f t="shared" si="17"/>
        <v>365</v>
      </c>
      <c r="G96" s="39">
        <f t="shared" si="15"/>
        <v>50</v>
      </c>
      <c r="H96" s="41">
        <f t="shared" si="16"/>
        <v>8529.7697368421068</v>
      </c>
      <c r="I96" s="47">
        <f t="shared" si="18"/>
        <v>2886.6</v>
      </c>
      <c r="J96" s="41">
        <f t="shared" si="19"/>
        <v>5643.1697368421064</v>
      </c>
      <c r="K96" s="38">
        <v>663.39931789473712</v>
      </c>
      <c r="L96" s="41">
        <f t="shared" si="20"/>
        <v>9193.1690547368435</v>
      </c>
      <c r="M96" s="37"/>
      <c r="N96" s="38">
        <f t="shared" si="21"/>
        <v>663.39931789473712</v>
      </c>
      <c r="O96" s="38">
        <f t="shared" si="22"/>
        <v>663.39931789473712</v>
      </c>
      <c r="P96" s="41">
        <f t="shared" si="23"/>
        <v>8529.7697368421068</v>
      </c>
      <c r="Q96" s="42"/>
    </row>
    <row r="97" spans="1:17" ht="15.75" x14ac:dyDescent="0.25">
      <c r="A97" s="117" t="s">
        <v>267</v>
      </c>
      <c r="B97" s="117"/>
      <c r="C97" s="117"/>
      <c r="D97" s="24">
        <f t="shared" ref="D97:E97" si="24">SUM(D48:D96,D18:D45,D9:D15,D4:D6)</f>
        <v>383860.99999999983</v>
      </c>
      <c r="E97" s="24">
        <f t="shared" si="24"/>
        <v>25254.013157894729</v>
      </c>
      <c r="F97" s="25"/>
      <c r="G97" s="25"/>
      <c r="H97" s="24">
        <f>SUM(H4:H96)</f>
        <v>1198566.3916979085</v>
      </c>
      <c r="I97" s="25"/>
      <c r="J97" s="24">
        <f t="shared" ref="J97:O97" si="25">SUM(J48:J96,J18:J45,J9:J15,J4:J6)</f>
        <v>958353.82073900488</v>
      </c>
      <c r="K97" s="24">
        <f>SUM(K48:K96,K18:K45,K9:K15,K4:K6)</f>
        <v>180665.15954502384</v>
      </c>
      <c r="L97" s="24">
        <f t="shared" si="25"/>
        <v>1374876.0399137824</v>
      </c>
      <c r="M97" s="25"/>
      <c r="N97" s="24">
        <f t="shared" si="25"/>
        <v>180081.72527066767</v>
      </c>
      <c r="O97" s="24">
        <f t="shared" si="25"/>
        <v>180081.72527066767</v>
      </c>
      <c r="P97" s="24">
        <f>SUM(P48:P96,P18:P45,P9:P15,P4:P6)</f>
        <v>1198566.3946431146</v>
      </c>
    </row>
    <row r="101" spans="1:17" x14ac:dyDescent="0.25">
      <c r="B101" s="67" t="s">
        <v>423</v>
      </c>
      <c r="E101" s="110" t="s">
        <v>425</v>
      </c>
      <c r="F101" s="110"/>
      <c r="G101" s="110"/>
      <c r="H101" s="110"/>
      <c r="P101" s="110" t="s">
        <v>427</v>
      </c>
      <c r="Q101" s="110"/>
    </row>
    <row r="102" spans="1:17" x14ac:dyDescent="0.25">
      <c r="B102" s="68" t="s">
        <v>424</v>
      </c>
      <c r="E102" s="111" t="s">
        <v>426</v>
      </c>
      <c r="F102" s="111"/>
      <c r="G102" s="111"/>
      <c r="H102" s="111"/>
      <c r="P102" s="111" t="s">
        <v>428</v>
      </c>
      <c r="Q102" s="111"/>
    </row>
  </sheetData>
  <mergeCells count="10">
    <mergeCell ref="A1:Q1"/>
    <mergeCell ref="A2:Q2"/>
    <mergeCell ref="A97:C97"/>
    <mergeCell ref="E101:H101"/>
    <mergeCell ref="E102:H102"/>
    <mergeCell ref="P101:Q101"/>
    <mergeCell ref="P102:Q102"/>
    <mergeCell ref="A8:C8"/>
    <mergeCell ref="A17:C17"/>
    <mergeCell ref="A47:C47"/>
  </mergeCells>
  <pageMargins left="0.7" right="0.7" top="0.75" bottom="0.75" header="0.3" footer="0.3"/>
  <pageSetup paperSize="14" scale="6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6D288-66FB-4CB3-BF95-6D91121A398F}">
  <dimension ref="A1:W391"/>
  <sheetViews>
    <sheetView topLeftCell="H362" workbookViewId="0">
      <selection activeCell="W391" sqref="W391"/>
    </sheetView>
  </sheetViews>
  <sheetFormatPr baseColWidth="10" defaultRowHeight="15" x14ac:dyDescent="0.25"/>
  <cols>
    <col min="1" max="1" width="24.85546875" customWidth="1"/>
    <col min="4" max="4" width="24.7109375" customWidth="1"/>
    <col min="7" max="7" width="25" customWidth="1"/>
    <col min="10" max="10" width="24.5703125" customWidth="1"/>
    <col min="13" max="13" width="26.140625" customWidth="1"/>
    <col min="16" max="16" width="25.5703125" customWidth="1"/>
    <col min="19" max="19" width="27.28515625" customWidth="1"/>
    <col min="22" max="22" width="26.140625" customWidth="1"/>
  </cols>
  <sheetData>
    <row r="1" spans="1:23" ht="18.75" x14ac:dyDescent="0.3">
      <c r="A1" s="95" t="s">
        <v>300</v>
      </c>
      <c r="B1" s="96"/>
      <c r="C1" s="3"/>
      <c r="D1" s="96"/>
      <c r="E1" s="96"/>
      <c r="G1" s="95" t="s">
        <v>301</v>
      </c>
      <c r="H1" s="96"/>
      <c r="I1" s="3"/>
      <c r="J1" s="96"/>
      <c r="K1" s="96"/>
      <c r="M1" s="95" t="s">
        <v>302</v>
      </c>
      <c r="N1" s="96"/>
      <c r="O1" s="3"/>
      <c r="P1" s="96"/>
      <c r="Q1" s="96"/>
      <c r="S1" s="95" t="s">
        <v>303</v>
      </c>
      <c r="T1" s="96"/>
      <c r="U1" s="3"/>
      <c r="V1" s="96"/>
      <c r="W1" s="96"/>
    </row>
    <row r="2" spans="1:23" x14ac:dyDescent="0.25">
      <c r="A2" s="3"/>
      <c r="B2" s="3"/>
      <c r="C2" s="3"/>
      <c r="D2" s="3"/>
      <c r="E2" s="3"/>
      <c r="G2" s="3"/>
      <c r="H2" s="3"/>
      <c r="I2" s="3"/>
      <c r="J2" s="3"/>
      <c r="K2" s="3"/>
      <c r="M2" s="3"/>
      <c r="N2" s="3"/>
      <c r="O2" s="3"/>
      <c r="P2" s="3"/>
      <c r="Q2" s="3"/>
      <c r="S2" s="3"/>
      <c r="T2" s="3"/>
      <c r="U2" s="3"/>
      <c r="V2" s="3"/>
      <c r="W2" s="3"/>
    </row>
    <row r="3" spans="1:23" x14ac:dyDescent="0.25">
      <c r="A3" s="3"/>
      <c r="B3" s="3"/>
      <c r="C3" s="3"/>
      <c r="D3" s="3" t="s">
        <v>249</v>
      </c>
      <c r="E3" s="3">
        <f>B5</f>
        <v>14722.7</v>
      </c>
      <c r="G3" s="3"/>
      <c r="H3" s="3"/>
      <c r="I3" s="3"/>
      <c r="J3" s="3" t="s">
        <v>249</v>
      </c>
      <c r="K3" s="3">
        <f>H5</f>
        <v>14722.7</v>
      </c>
      <c r="M3" s="3"/>
      <c r="N3" s="3"/>
      <c r="O3" s="3"/>
      <c r="P3" s="3" t="s">
        <v>249</v>
      </c>
      <c r="Q3" s="3">
        <f>N5</f>
        <v>8673.3799999999992</v>
      </c>
      <c r="S3" s="3"/>
      <c r="T3" s="3"/>
      <c r="U3" s="3"/>
      <c r="V3" s="3" t="s">
        <v>249</v>
      </c>
      <c r="W3" s="3">
        <f>T5</f>
        <v>16720</v>
      </c>
    </row>
    <row r="4" spans="1:23" x14ac:dyDescent="0.25">
      <c r="A4" s="3"/>
      <c r="B4" s="3"/>
      <c r="C4" s="3"/>
      <c r="D4" s="3" t="s">
        <v>250</v>
      </c>
      <c r="E4" s="3">
        <v>21328.367105263162</v>
      </c>
      <c r="G4" s="3"/>
      <c r="H4" s="3"/>
      <c r="I4" s="3"/>
      <c r="J4" s="3" t="s">
        <v>250</v>
      </c>
      <c r="K4" s="3">
        <v>21328.367105263162</v>
      </c>
      <c r="M4" s="3"/>
      <c r="N4" s="3"/>
      <c r="O4" s="3"/>
      <c r="P4" s="3" t="s">
        <v>250</v>
      </c>
      <c r="Q4" s="3">
        <v>11378.827631578946</v>
      </c>
      <c r="S4" s="3"/>
      <c r="T4" s="3"/>
      <c r="U4" s="3"/>
      <c r="V4" s="3" t="s">
        <v>250</v>
      </c>
      <c r="W4" s="3">
        <v>21174.267397260275</v>
      </c>
    </row>
    <row r="5" spans="1:23" x14ac:dyDescent="0.25">
      <c r="A5" s="3" t="s">
        <v>249</v>
      </c>
      <c r="B5" s="3">
        <f>7361.35*2</f>
        <v>14722.7</v>
      </c>
      <c r="C5" s="3"/>
      <c r="D5" s="3" t="s">
        <v>251</v>
      </c>
      <c r="E5" s="3">
        <f>E3+E4</f>
        <v>36051.067105263166</v>
      </c>
      <c r="G5" s="3" t="s">
        <v>249</v>
      </c>
      <c r="H5" s="3">
        <f>7361.35*2</f>
        <v>14722.7</v>
      </c>
      <c r="I5" s="3"/>
      <c r="J5" s="3" t="s">
        <v>251</v>
      </c>
      <c r="K5" s="3">
        <f>K3+K4</f>
        <v>36051.067105263166</v>
      </c>
      <c r="M5" s="3" t="s">
        <v>249</v>
      </c>
      <c r="N5" s="3">
        <f>4336.69*2</f>
        <v>8673.3799999999992</v>
      </c>
      <c r="O5" s="3"/>
      <c r="P5" s="3" t="s">
        <v>251</v>
      </c>
      <c r="Q5" s="3">
        <f>Q3+Q4</f>
        <v>20052.207631578945</v>
      </c>
      <c r="S5" s="3" t="s">
        <v>249</v>
      </c>
      <c r="T5" s="3">
        <f>8360*2</f>
        <v>16720</v>
      </c>
      <c r="U5" s="3"/>
      <c r="V5" s="3" t="s">
        <v>251</v>
      </c>
      <c r="W5" s="3">
        <f>W3+W4</f>
        <v>37894.267397260279</v>
      </c>
    </row>
    <row r="6" spans="1:23" x14ac:dyDescent="0.25">
      <c r="A6" s="3" t="s">
        <v>252</v>
      </c>
      <c r="B6" s="3">
        <v>13381.48</v>
      </c>
      <c r="C6" s="3"/>
      <c r="D6" s="3" t="s">
        <v>252</v>
      </c>
      <c r="E6" s="3">
        <v>26988.51</v>
      </c>
      <c r="G6" s="3" t="s">
        <v>252</v>
      </c>
      <c r="H6" s="3">
        <v>13381.48</v>
      </c>
      <c r="I6" s="3"/>
      <c r="J6" s="3" t="s">
        <v>252</v>
      </c>
      <c r="K6" s="3">
        <v>26988.51</v>
      </c>
      <c r="M6" s="3" t="s">
        <v>252</v>
      </c>
      <c r="N6" s="3">
        <v>5470.93</v>
      </c>
      <c r="O6" s="3"/>
      <c r="P6" s="3" t="s">
        <v>252</v>
      </c>
      <c r="Q6" s="3">
        <v>13381.48</v>
      </c>
      <c r="S6" s="3" t="s">
        <v>252</v>
      </c>
      <c r="T6" s="3">
        <v>13381.48</v>
      </c>
      <c r="U6" s="3"/>
      <c r="V6" s="3" t="s">
        <v>252</v>
      </c>
      <c r="W6" s="3">
        <v>26988.51</v>
      </c>
    </row>
    <row r="7" spans="1:23" x14ac:dyDescent="0.25">
      <c r="A7" s="3" t="s">
        <v>253</v>
      </c>
      <c r="B7" s="3">
        <f>B5-B6</f>
        <v>1341.2200000000012</v>
      </c>
      <c r="C7" s="3"/>
      <c r="D7" s="3" t="s">
        <v>253</v>
      </c>
      <c r="E7" s="3">
        <f>(E5-E6)</f>
        <v>9062.5571052631676</v>
      </c>
      <c r="G7" s="3" t="s">
        <v>253</v>
      </c>
      <c r="H7" s="3">
        <f>H5-H6</f>
        <v>1341.2200000000012</v>
      </c>
      <c r="I7" s="3"/>
      <c r="J7" s="3" t="s">
        <v>253</v>
      </c>
      <c r="K7" s="3">
        <f>(K5-K6)</f>
        <v>9062.5571052631676</v>
      </c>
      <c r="M7" s="3" t="s">
        <v>253</v>
      </c>
      <c r="N7" s="3">
        <f>N5-N6</f>
        <v>3202.4499999999989</v>
      </c>
      <c r="O7" s="3"/>
      <c r="P7" s="3" t="s">
        <v>253</v>
      </c>
      <c r="Q7" s="3">
        <f>(Q5-Q6)</f>
        <v>6670.7276315789459</v>
      </c>
      <c r="S7" s="3" t="s">
        <v>253</v>
      </c>
      <c r="T7" s="3">
        <f>T5-T6</f>
        <v>3338.5200000000004</v>
      </c>
      <c r="U7" s="3"/>
      <c r="V7" s="3" t="s">
        <v>253</v>
      </c>
      <c r="W7" s="3">
        <f>(W5-W6)</f>
        <v>10905.75739726028</v>
      </c>
    </row>
    <row r="8" spans="1:23" x14ac:dyDescent="0.25">
      <c r="A8" s="3" t="s">
        <v>254</v>
      </c>
      <c r="B8" s="5">
        <v>0.21360000000000001</v>
      </c>
      <c r="C8" s="3"/>
      <c r="D8" s="3" t="s">
        <v>254</v>
      </c>
      <c r="E8" s="5">
        <v>0.23519999999999999</v>
      </c>
      <c r="G8" s="3" t="s">
        <v>254</v>
      </c>
      <c r="H8" s="5">
        <v>0.21360000000000001</v>
      </c>
      <c r="I8" s="3"/>
      <c r="J8" s="3" t="s">
        <v>254</v>
      </c>
      <c r="K8" s="5">
        <v>0.23519999999999999</v>
      </c>
      <c r="M8" s="3" t="s">
        <v>254</v>
      </c>
      <c r="N8" s="5">
        <v>0.10879999999999999</v>
      </c>
      <c r="O8" s="3"/>
      <c r="P8" s="3" t="s">
        <v>254</v>
      </c>
      <c r="Q8" s="5">
        <v>0.21360000000000001</v>
      </c>
      <c r="S8" s="3" t="s">
        <v>254</v>
      </c>
      <c r="T8" s="5">
        <v>0.21360000000000001</v>
      </c>
      <c r="U8" s="3"/>
      <c r="V8" s="3" t="s">
        <v>254</v>
      </c>
      <c r="W8" s="5">
        <v>0.23519999999999999</v>
      </c>
    </row>
    <row r="9" spans="1:23" x14ac:dyDescent="0.25">
      <c r="A9" s="3" t="s">
        <v>255</v>
      </c>
      <c r="B9" s="3">
        <f>B7*B8</f>
        <v>286.48459200000025</v>
      </c>
      <c r="C9" s="3"/>
      <c r="D9" s="3" t="s">
        <v>255</v>
      </c>
      <c r="E9" s="3">
        <f>(E7*E8)</f>
        <v>2131.5134311578968</v>
      </c>
      <c r="G9" s="3" t="s">
        <v>255</v>
      </c>
      <c r="H9" s="3">
        <f>H7*H8</f>
        <v>286.48459200000025</v>
      </c>
      <c r="I9" s="3"/>
      <c r="J9" s="3" t="s">
        <v>255</v>
      </c>
      <c r="K9" s="3">
        <f>(K7*K8)</f>
        <v>2131.5134311578968</v>
      </c>
      <c r="M9" s="3" t="s">
        <v>255</v>
      </c>
      <c r="N9" s="3">
        <f>N7*N8</f>
        <v>348.42655999999988</v>
      </c>
      <c r="O9" s="3"/>
      <c r="P9" s="3" t="s">
        <v>255</v>
      </c>
      <c r="Q9" s="3">
        <f>(Q7*Q8)</f>
        <v>1424.8674221052629</v>
      </c>
      <c r="S9" s="3" t="s">
        <v>255</v>
      </c>
      <c r="T9" s="3">
        <f>T7*T8</f>
        <v>713.10787200000016</v>
      </c>
      <c r="U9" s="3"/>
      <c r="V9" s="3" t="s">
        <v>255</v>
      </c>
      <c r="W9" s="3">
        <f>(W7*W8)</f>
        <v>2565.0341398356177</v>
      </c>
    </row>
    <row r="10" spans="1:23" x14ac:dyDescent="0.25">
      <c r="A10" s="3" t="s">
        <v>256</v>
      </c>
      <c r="B10" s="3">
        <v>1417.12</v>
      </c>
      <c r="C10" s="3"/>
      <c r="D10" s="3" t="s">
        <v>256</v>
      </c>
      <c r="E10" s="3">
        <v>4323.58</v>
      </c>
      <c r="G10" s="3" t="s">
        <v>256</v>
      </c>
      <c r="H10" s="3">
        <v>1417.12</v>
      </c>
      <c r="I10" s="3"/>
      <c r="J10" s="3" t="s">
        <v>256</v>
      </c>
      <c r="K10" s="3">
        <v>4323.58</v>
      </c>
      <c r="M10" s="3" t="s">
        <v>256</v>
      </c>
      <c r="N10" s="3">
        <v>321.26</v>
      </c>
      <c r="O10" s="3"/>
      <c r="P10" s="3" t="s">
        <v>256</v>
      </c>
      <c r="Q10" s="3">
        <v>1417.12</v>
      </c>
      <c r="S10" s="3" t="s">
        <v>256</v>
      </c>
      <c r="T10" s="3">
        <v>1417.12</v>
      </c>
      <c r="U10" s="3"/>
      <c r="V10" s="3" t="s">
        <v>256</v>
      </c>
      <c r="W10" s="3">
        <v>4323.58</v>
      </c>
    </row>
    <row r="11" spans="1:23" x14ac:dyDescent="0.25">
      <c r="A11" s="3" t="s">
        <v>257</v>
      </c>
      <c r="B11" s="3">
        <f>B9+B10</f>
        <v>1703.6045920000001</v>
      </c>
      <c r="C11" s="3"/>
      <c r="D11" s="3" t="s">
        <v>257</v>
      </c>
      <c r="E11" s="3">
        <f>(E9+E10)</f>
        <v>6455.0934311578967</v>
      </c>
      <c r="G11" s="3" t="s">
        <v>257</v>
      </c>
      <c r="H11" s="3">
        <f>H9+H10</f>
        <v>1703.6045920000001</v>
      </c>
      <c r="I11" s="3"/>
      <c r="J11" s="3" t="s">
        <v>257</v>
      </c>
      <c r="K11" s="3">
        <f>(K9+K10)</f>
        <v>6455.0934311578967</v>
      </c>
      <c r="M11" s="3" t="s">
        <v>257</v>
      </c>
      <c r="N11" s="3">
        <f>N9+N10</f>
        <v>669.68655999999987</v>
      </c>
      <c r="O11" s="3"/>
      <c r="P11" s="3" t="s">
        <v>257</v>
      </c>
      <c r="Q11" s="3">
        <f>(Q9+Q10)</f>
        <v>2841.9874221052628</v>
      </c>
      <c r="S11" s="3" t="s">
        <v>257</v>
      </c>
      <c r="T11" s="3">
        <f>T9+T10</f>
        <v>2130.2278719999999</v>
      </c>
      <c r="U11" s="3"/>
      <c r="V11" s="3" t="s">
        <v>257</v>
      </c>
      <c r="W11" s="3">
        <f>(W9+W10)</f>
        <v>6888.6141398356176</v>
      </c>
    </row>
    <row r="12" spans="1:23" x14ac:dyDescent="0.25">
      <c r="A12" s="3" t="s">
        <v>258</v>
      </c>
      <c r="B12" s="3"/>
      <c r="C12" s="3"/>
      <c r="D12" s="3" t="s">
        <v>258</v>
      </c>
      <c r="E12" s="3"/>
      <c r="G12" s="3" t="s">
        <v>258</v>
      </c>
      <c r="H12" s="3"/>
      <c r="I12" s="3"/>
      <c r="J12" s="3" t="s">
        <v>258</v>
      </c>
      <c r="K12" s="3"/>
      <c r="M12" s="3" t="s">
        <v>258</v>
      </c>
      <c r="N12" s="3"/>
      <c r="O12" s="3"/>
      <c r="P12" s="3" t="s">
        <v>258</v>
      </c>
      <c r="Q12" s="3"/>
      <c r="S12" s="3" t="s">
        <v>258</v>
      </c>
      <c r="T12" s="3"/>
      <c r="U12" s="3"/>
      <c r="V12" s="3" t="s">
        <v>258</v>
      </c>
      <c r="W12" s="3"/>
    </row>
    <row r="13" spans="1:23" x14ac:dyDescent="0.25">
      <c r="A13" s="3" t="s">
        <v>259</v>
      </c>
      <c r="B13" s="3">
        <f>(B11-B12)</f>
        <v>1703.6045920000001</v>
      </c>
      <c r="C13" s="3"/>
      <c r="D13" s="3" t="s">
        <v>259</v>
      </c>
      <c r="E13" s="3">
        <f>(E11-E12)</f>
        <v>6455.0934311578967</v>
      </c>
      <c r="G13" s="3" t="s">
        <v>259</v>
      </c>
      <c r="H13" s="3">
        <f>(H11-H12)</f>
        <v>1703.6045920000001</v>
      </c>
      <c r="I13" s="3"/>
      <c r="J13" s="3" t="s">
        <v>259</v>
      </c>
      <c r="K13" s="3">
        <f>(K11-K12)</f>
        <v>6455.0934311578967</v>
      </c>
      <c r="M13" s="3" t="s">
        <v>259</v>
      </c>
      <c r="N13" s="3">
        <f>(N11-N12)</f>
        <v>669.68655999999987</v>
      </c>
      <c r="O13" s="3"/>
      <c r="P13" s="3" t="s">
        <v>259</v>
      </c>
      <c r="Q13" s="3">
        <f>(Q11-Q12)</f>
        <v>2841.9874221052628</v>
      </c>
      <c r="S13" s="3" t="s">
        <v>259</v>
      </c>
      <c r="T13" s="3">
        <f>(T11-T12)</f>
        <v>2130.2278719999999</v>
      </c>
      <c r="U13" s="3"/>
      <c r="V13" s="3" t="s">
        <v>259</v>
      </c>
      <c r="W13" s="3">
        <f>(W11-W12)</f>
        <v>6888.6141398356176</v>
      </c>
    </row>
    <row r="14" spans="1:23" x14ac:dyDescent="0.25">
      <c r="A14" s="3"/>
      <c r="B14" s="3"/>
      <c r="C14" s="3"/>
      <c r="D14" s="3"/>
      <c r="E14" s="3"/>
      <c r="G14" s="3"/>
      <c r="H14" s="3"/>
      <c r="I14" s="3"/>
      <c r="J14" s="3"/>
      <c r="K14" s="3"/>
      <c r="M14" s="3"/>
      <c r="N14" s="3"/>
      <c r="O14" s="3"/>
      <c r="P14" s="3"/>
      <c r="Q14" s="3"/>
      <c r="S14" s="3"/>
      <c r="T14" s="3"/>
      <c r="U14" s="3"/>
      <c r="V14" s="3"/>
      <c r="W14" s="3"/>
    </row>
    <row r="15" spans="1:23" x14ac:dyDescent="0.25">
      <c r="A15" s="3"/>
      <c r="B15" s="3"/>
      <c r="C15" s="3"/>
      <c r="D15" s="3" t="s">
        <v>260</v>
      </c>
      <c r="E15" s="3">
        <f>E13-B13</f>
        <v>4751.488839157897</v>
      </c>
      <c r="G15" s="3"/>
      <c r="H15" s="3"/>
      <c r="I15" s="3"/>
      <c r="J15" s="3" t="s">
        <v>260</v>
      </c>
      <c r="K15" s="3">
        <f>K13-H13</f>
        <v>4751.488839157897</v>
      </c>
      <c r="M15" s="3"/>
      <c r="N15" s="3"/>
      <c r="O15" s="3"/>
      <c r="P15" s="3" t="s">
        <v>260</v>
      </c>
      <c r="Q15" s="3">
        <f>Q13-N13</f>
        <v>2172.3008621052631</v>
      </c>
      <c r="S15" s="3"/>
      <c r="T15" s="3"/>
      <c r="U15" s="3"/>
      <c r="V15" s="3" t="s">
        <v>260</v>
      </c>
      <c r="W15" s="3">
        <f>W13-T13</f>
        <v>4758.3862678356181</v>
      </c>
    </row>
    <row r="18" spans="1:23" ht="18.75" x14ac:dyDescent="0.3">
      <c r="A18" s="95" t="s">
        <v>304</v>
      </c>
      <c r="B18" s="96"/>
      <c r="C18" s="3"/>
      <c r="D18" s="96"/>
      <c r="E18" s="96"/>
      <c r="G18" s="95" t="s">
        <v>305</v>
      </c>
      <c r="H18" s="96"/>
      <c r="I18" s="3"/>
      <c r="J18" s="96"/>
      <c r="K18" s="96"/>
      <c r="M18" s="95" t="s">
        <v>306</v>
      </c>
      <c r="N18" s="96"/>
      <c r="O18" s="3"/>
      <c r="P18" s="96"/>
      <c r="Q18" s="96"/>
      <c r="S18" s="95" t="s">
        <v>307</v>
      </c>
      <c r="T18" s="96"/>
      <c r="U18" s="3"/>
      <c r="V18" s="96"/>
      <c r="W18" s="96"/>
    </row>
    <row r="19" spans="1:23" x14ac:dyDescent="0.25">
      <c r="A19" s="3"/>
      <c r="B19" s="3"/>
      <c r="C19" s="3"/>
      <c r="D19" s="3"/>
      <c r="E19" s="3"/>
      <c r="G19" s="3"/>
      <c r="H19" s="3"/>
      <c r="I19" s="3"/>
      <c r="J19" s="3"/>
      <c r="K19" s="3"/>
      <c r="M19" s="3"/>
      <c r="N19" s="3"/>
      <c r="O19" s="3"/>
      <c r="P19" s="3"/>
      <c r="Q19" s="3"/>
      <c r="S19" s="3"/>
      <c r="T19" s="3"/>
      <c r="U19" s="3"/>
      <c r="V19" s="3"/>
      <c r="W19" s="3"/>
    </row>
    <row r="20" spans="1:23" x14ac:dyDescent="0.25">
      <c r="A20" s="3"/>
      <c r="B20" s="3"/>
      <c r="C20" s="3"/>
      <c r="D20" s="3" t="s">
        <v>249</v>
      </c>
      <c r="E20" s="3">
        <f>B22</f>
        <v>15142</v>
      </c>
      <c r="G20" s="3"/>
      <c r="H20" s="3"/>
      <c r="I20" s="3"/>
      <c r="J20" s="3" t="s">
        <v>249</v>
      </c>
      <c r="K20" s="3">
        <f>H22</f>
        <v>15142</v>
      </c>
      <c r="M20" s="3"/>
      <c r="N20" s="3"/>
      <c r="O20" s="3"/>
      <c r="P20" s="3" t="s">
        <v>249</v>
      </c>
      <c r="Q20" s="3">
        <f>N22</f>
        <v>11492</v>
      </c>
      <c r="S20" s="3"/>
      <c r="T20" s="3"/>
      <c r="U20" s="3"/>
      <c r="V20" s="3" t="s">
        <v>249</v>
      </c>
      <c r="W20" s="3">
        <f>T22</f>
        <v>14368</v>
      </c>
    </row>
    <row r="21" spans="1:23" x14ac:dyDescent="0.25">
      <c r="A21" s="3"/>
      <c r="B21" s="3"/>
      <c r="C21" s="3"/>
      <c r="D21" s="3" t="s">
        <v>250</v>
      </c>
      <c r="E21" s="3">
        <v>21414.772242249463</v>
      </c>
      <c r="G21" s="3"/>
      <c r="H21" s="3"/>
      <c r="I21" s="3"/>
      <c r="J21" s="3" t="s">
        <v>250</v>
      </c>
      <c r="K21" s="3">
        <v>22018.005263157898</v>
      </c>
      <c r="M21" s="3"/>
      <c r="N21" s="3"/>
      <c r="O21" s="3"/>
      <c r="P21" s="3" t="s">
        <v>250</v>
      </c>
      <c r="Q21" s="3">
        <v>16014.715789473683</v>
      </c>
      <c r="S21" s="3"/>
      <c r="T21" s="3"/>
      <c r="U21" s="3"/>
      <c r="V21" s="3" t="s">
        <v>250</v>
      </c>
      <c r="W21" s="3">
        <v>20744.978947368425</v>
      </c>
    </row>
    <row r="22" spans="1:23" x14ac:dyDescent="0.25">
      <c r="A22" s="3" t="s">
        <v>249</v>
      </c>
      <c r="B22" s="3">
        <f>7571*2</f>
        <v>15142</v>
      </c>
      <c r="C22" s="3"/>
      <c r="D22" s="3" t="s">
        <v>251</v>
      </c>
      <c r="E22" s="3">
        <f>E20+E21</f>
        <v>36556.772242249463</v>
      </c>
      <c r="G22" s="3" t="s">
        <v>249</v>
      </c>
      <c r="H22" s="3">
        <f>7571*2</f>
        <v>15142</v>
      </c>
      <c r="I22" s="3"/>
      <c r="J22" s="3" t="s">
        <v>251</v>
      </c>
      <c r="K22" s="3">
        <f>K20+K21</f>
        <v>37160.005263157902</v>
      </c>
      <c r="M22" s="3" t="s">
        <v>249</v>
      </c>
      <c r="N22" s="3">
        <f>5746*2</f>
        <v>11492</v>
      </c>
      <c r="O22" s="3"/>
      <c r="P22" s="3" t="s">
        <v>251</v>
      </c>
      <c r="Q22" s="3">
        <f>Q20+Q21</f>
        <v>27506.715789473681</v>
      </c>
      <c r="S22" s="3" t="s">
        <v>249</v>
      </c>
      <c r="T22" s="3">
        <f>7184*2</f>
        <v>14368</v>
      </c>
      <c r="U22" s="3"/>
      <c r="V22" s="3" t="s">
        <v>251</v>
      </c>
      <c r="W22" s="3">
        <f>W20+W21</f>
        <v>35112.978947368421</v>
      </c>
    </row>
    <row r="23" spans="1:23" x14ac:dyDescent="0.25">
      <c r="A23" s="3" t="s">
        <v>252</v>
      </c>
      <c r="B23" s="3">
        <v>13381.48</v>
      </c>
      <c r="C23" s="3"/>
      <c r="D23" s="3" t="s">
        <v>252</v>
      </c>
      <c r="E23" s="3">
        <v>26988.51</v>
      </c>
      <c r="G23" s="3" t="s">
        <v>252</v>
      </c>
      <c r="H23" s="3">
        <v>13381.48</v>
      </c>
      <c r="I23" s="3"/>
      <c r="J23" s="3" t="s">
        <v>252</v>
      </c>
      <c r="K23" s="3">
        <v>26988.51</v>
      </c>
      <c r="M23" s="3" t="s">
        <v>252</v>
      </c>
      <c r="N23" s="3">
        <v>11176.63</v>
      </c>
      <c r="O23" s="3"/>
      <c r="P23" s="3" t="s">
        <v>252</v>
      </c>
      <c r="Q23" s="3">
        <v>26988.51</v>
      </c>
      <c r="S23" s="3" t="s">
        <v>252</v>
      </c>
      <c r="T23" s="3">
        <v>13381.48</v>
      </c>
      <c r="U23" s="3"/>
      <c r="V23" s="3" t="s">
        <v>252</v>
      </c>
      <c r="W23" s="3">
        <v>26988.51</v>
      </c>
    </row>
    <row r="24" spans="1:23" x14ac:dyDescent="0.25">
      <c r="A24" s="3" t="s">
        <v>253</v>
      </c>
      <c r="B24" s="3">
        <f>B22-B23</f>
        <v>1760.5200000000004</v>
      </c>
      <c r="C24" s="3"/>
      <c r="D24" s="3" t="s">
        <v>253</v>
      </c>
      <c r="E24" s="3">
        <f>(E22-E23)</f>
        <v>9568.2622422494642</v>
      </c>
      <c r="G24" s="3" t="s">
        <v>253</v>
      </c>
      <c r="H24" s="3">
        <f>H22-H23</f>
        <v>1760.5200000000004</v>
      </c>
      <c r="I24" s="3"/>
      <c r="J24" s="3" t="s">
        <v>253</v>
      </c>
      <c r="K24" s="3">
        <f>(K22-K23)</f>
        <v>10171.495263157904</v>
      </c>
      <c r="M24" s="3" t="s">
        <v>253</v>
      </c>
      <c r="N24" s="3">
        <f>N22-N23</f>
        <v>315.3700000000008</v>
      </c>
      <c r="O24" s="3"/>
      <c r="P24" s="3" t="s">
        <v>253</v>
      </c>
      <c r="Q24" s="3">
        <f>(Q22-Q23)</f>
        <v>518.20578947368267</v>
      </c>
      <c r="S24" s="3" t="s">
        <v>253</v>
      </c>
      <c r="T24" s="3">
        <f>T22-T23</f>
        <v>986.52000000000044</v>
      </c>
      <c r="U24" s="3"/>
      <c r="V24" s="3" t="s">
        <v>253</v>
      </c>
      <c r="W24" s="3">
        <f>(W22-W23)</f>
        <v>8124.468947368423</v>
      </c>
    </row>
    <row r="25" spans="1:23" x14ac:dyDescent="0.25">
      <c r="A25" s="3" t="s">
        <v>254</v>
      </c>
      <c r="B25" s="5">
        <v>0.21360000000000001</v>
      </c>
      <c r="C25" s="3"/>
      <c r="D25" s="3" t="s">
        <v>254</v>
      </c>
      <c r="E25" s="5">
        <v>0.23519999999999999</v>
      </c>
      <c r="G25" s="3" t="s">
        <v>254</v>
      </c>
      <c r="H25" s="5">
        <v>0.21360000000000001</v>
      </c>
      <c r="I25" s="3"/>
      <c r="J25" s="3" t="s">
        <v>254</v>
      </c>
      <c r="K25" s="5">
        <v>0.23519999999999999</v>
      </c>
      <c r="M25" s="3" t="s">
        <v>254</v>
      </c>
      <c r="N25" s="5">
        <v>0.1792</v>
      </c>
      <c r="O25" s="3"/>
      <c r="P25" s="3" t="s">
        <v>254</v>
      </c>
      <c r="Q25" s="5">
        <v>0.23519999999999999</v>
      </c>
      <c r="S25" s="3" t="s">
        <v>254</v>
      </c>
      <c r="T25" s="5">
        <v>0.21360000000000001</v>
      </c>
      <c r="U25" s="3"/>
      <c r="V25" s="3" t="s">
        <v>254</v>
      </c>
      <c r="W25" s="5">
        <v>0.23519999999999999</v>
      </c>
    </row>
    <row r="26" spans="1:23" x14ac:dyDescent="0.25">
      <c r="A26" s="3" t="s">
        <v>255</v>
      </c>
      <c r="B26" s="3">
        <f>B24*B25</f>
        <v>376.04707200000013</v>
      </c>
      <c r="C26" s="3"/>
      <c r="D26" s="3" t="s">
        <v>255</v>
      </c>
      <c r="E26" s="3">
        <f>(E24*E25)</f>
        <v>2250.455279377074</v>
      </c>
      <c r="G26" s="3" t="s">
        <v>255</v>
      </c>
      <c r="H26" s="3">
        <f>H24*H25</f>
        <v>376.04707200000013</v>
      </c>
      <c r="I26" s="3"/>
      <c r="J26" s="3" t="s">
        <v>255</v>
      </c>
      <c r="K26" s="3">
        <f>(K24*K25)</f>
        <v>2392.3356858947386</v>
      </c>
      <c r="M26" s="3" t="s">
        <v>255</v>
      </c>
      <c r="N26" s="3">
        <f>N24*N25</f>
        <v>56.514304000000145</v>
      </c>
      <c r="O26" s="3"/>
      <c r="P26" s="3" t="s">
        <v>255</v>
      </c>
      <c r="Q26" s="3">
        <f>(Q24*Q25)</f>
        <v>121.88200168421017</v>
      </c>
      <c r="S26" s="3" t="s">
        <v>255</v>
      </c>
      <c r="T26" s="3">
        <f>T24*T25</f>
        <v>210.72067200000009</v>
      </c>
      <c r="U26" s="3"/>
      <c r="V26" s="3" t="s">
        <v>255</v>
      </c>
      <c r="W26" s="3">
        <f>(W24*W25)</f>
        <v>1910.8750964210531</v>
      </c>
    </row>
    <row r="27" spans="1:23" x14ac:dyDescent="0.25">
      <c r="A27" s="3" t="s">
        <v>256</v>
      </c>
      <c r="B27" s="3">
        <v>1417.12</v>
      </c>
      <c r="C27" s="3"/>
      <c r="D27" s="3" t="s">
        <v>256</v>
      </c>
      <c r="E27" s="3">
        <v>4323.58</v>
      </c>
      <c r="G27" s="3" t="s">
        <v>256</v>
      </c>
      <c r="H27" s="3">
        <v>1417.12</v>
      </c>
      <c r="I27" s="3"/>
      <c r="J27" s="3" t="s">
        <v>256</v>
      </c>
      <c r="K27" s="3">
        <v>4323.58</v>
      </c>
      <c r="M27" s="3" t="s">
        <v>256</v>
      </c>
      <c r="N27" s="3">
        <v>1022.01</v>
      </c>
      <c r="O27" s="3"/>
      <c r="P27" s="3" t="s">
        <v>256</v>
      </c>
      <c r="Q27" s="3">
        <v>4323.58</v>
      </c>
      <c r="S27" s="3" t="s">
        <v>256</v>
      </c>
      <c r="T27" s="3">
        <v>1417.12</v>
      </c>
      <c r="U27" s="3"/>
      <c r="V27" s="3" t="s">
        <v>256</v>
      </c>
      <c r="W27" s="3">
        <v>4323.58</v>
      </c>
    </row>
    <row r="28" spans="1:23" x14ac:dyDescent="0.25">
      <c r="A28" s="3" t="s">
        <v>257</v>
      </c>
      <c r="B28" s="3">
        <f>B26+B27</f>
        <v>1793.167072</v>
      </c>
      <c r="C28" s="3"/>
      <c r="D28" s="3" t="s">
        <v>257</v>
      </c>
      <c r="E28" s="3">
        <f>(E26+E27)</f>
        <v>6574.0352793770744</v>
      </c>
      <c r="G28" s="3" t="s">
        <v>257</v>
      </c>
      <c r="H28" s="3">
        <f>H26+H27</f>
        <v>1793.167072</v>
      </c>
      <c r="I28" s="3"/>
      <c r="J28" s="3" t="s">
        <v>257</v>
      </c>
      <c r="K28" s="3">
        <f>(K26+K27)</f>
        <v>6715.915685894739</v>
      </c>
      <c r="M28" s="3" t="s">
        <v>257</v>
      </c>
      <c r="N28" s="3">
        <f>N26+N27</f>
        <v>1078.524304</v>
      </c>
      <c r="O28" s="3"/>
      <c r="P28" s="3" t="s">
        <v>257</v>
      </c>
      <c r="Q28" s="3">
        <f>(Q26+Q27)</f>
        <v>4445.46200168421</v>
      </c>
      <c r="S28" s="3" t="s">
        <v>257</v>
      </c>
      <c r="T28" s="3">
        <f>T26+T27</f>
        <v>1627.840672</v>
      </c>
      <c r="U28" s="3"/>
      <c r="V28" s="3" t="s">
        <v>257</v>
      </c>
      <c r="W28" s="3">
        <f>(W26+W27)</f>
        <v>6234.455096421053</v>
      </c>
    </row>
    <row r="29" spans="1:23" x14ac:dyDescent="0.25">
      <c r="A29" s="3" t="s">
        <v>258</v>
      </c>
      <c r="B29" s="3"/>
      <c r="C29" s="3"/>
      <c r="D29" s="3" t="s">
        <v>258</v>
      </c>
      <c r="E29" s="3"/>
      <c r="G29" s="3" t="s">
        <v>258</v>
      </c>
      <c r="H29" s="3"/>
      <c r="I29" s="3"/>
      <c r="J29" s="3" t="s">
        <v>258</v>
      </c>
      <c r="K29" s="3"/>
      <c r="M29" s="3" t="s">
        <v>258</v>
      </c>
      <c r="N29" s="3"/>
      <c r="O29" s="3"/>
      <c r="P29" s="3" t="s">
        <v>258</v>
      </c>
      <c r="Q29" s="3"/>
      <c r="S29" s="3" t="s">
        <v>258</v>
      </c>
      <c r="T29" s="3"/>
      <c r="U29" s="3"/>
      <c r="V29" s="3" t="s">
        <v>258</v>
      </c>
      <c r="W29" s="3"/>
    </row>
    <row r="30" spans="1:23" x14ac:dyDescent="0.25">
      <c r="A30" s="3" t="s">
        <v>259</v>
      </c>
      <c r="B30" s="3">
        <f>(B28-B29)</f>
        <v>1793.167072</v>
      </c>
      <c r="C30" s="3"/>
      <c r="D30" s="3" t="s">
        <v>259</v>
      </c>
      <c r="E30" s="3">
        <f>(E28-E29)</f>
        <v>6574.0352793770744</v>
      </c>
      <c r="G30" s="3" t="s">
        <v>259</v>
      </c>
      <c r="H30" s="3">
        <f>(H28-H29)</f>
        <v>1793.167072</v>
      </c>
      <c r="I30" s="3"/>
      <c r="J30" s="3" t="s">
        <v>259</v>
      </c>
      <c r="K30" s="3">
        <f>(K28-K29)</f>
        <v>6715.915685894739</v>
      </c>
      <c r="M30" s="3" t="s">
        <v>259</v>
      </c>
      <c r="N30" s="3">
        <f>(N28-N29)</f>
        <v>1078.524304</v>
      </c>
      <c r="O30" s="3"/>
      <c r="P30" s="3" t="s">
        <v>259</v>
      </c>
      <c r="Q30" s="3">
        <f>(Q28-Q29)</f>
        <v>4445.46200168421</v>
      </c>
      <c r="S30" s="3" t="s">
        <v>259</v>
      </c>
      <c r="T30" s="3">
        <f>(T28-T29)</f>
        <v>1627.840672</v>
      </c>
      <c r="U30" s="3"/>
      <c r="V30" s="3" t="s">
        <v>259</v>
      </c>
      <c r="W30" s="3">
        <f>(W28-W29)</f>
        <v>6234.455096421053</v>
      </c>
    </row>
    <row r="31" spans="1:23" x14ac:dyDescent="0.25">
      <c r="A31" s="3"/>
      <c r="B31" s="3"/>
      <c r="C31" s="3"/>
      <c r="D31" s="3"/>
      <c r="E31" s="3"/>
      <c r="G31" s="3"/>
      <c r="H31" s="3"/>
      <c r="I31" s="3"/>
      <c r="J31" s="3"/>
      <c r="K31" s="3"/>
      <c r="M31" s="3"/>
      <c r="N31" s="3"/>
      <c r="O31" s="3"/>
      <c r="P31" s="3"/>
      <c r="Q31" s="3"/>
      <c r="S31" s="3"/>
      <c r="T31" s="3"/>
      <c r="U31" s="3"/>
      <c r="V31" s="3"/>
      <c r="W31" s="3"/>
    </row>
    <row r="32" spans="1:23" x14ac:dyDescent="0.25">
      <c r="A32" s="3"/>
      <c r="B32" s="3"/>
      <c r="C32" s="3"/>
      <c r="D32" s="3" t="s">
        <v>260</v>
      </c>
      <c r="E32" s="3">
        <f>E30-B30</f>
        <v>4780.8682073770742</v>
      </c>
      <c r="G32" s="3"/>
      <c r="H32" s="3"/>
      <c r="I32" s="3"/>
      <c r="J32" s="3" t="s">
        <v>260</v>
      </c>
      <c r="K32" s="3">
        <f>K30-H30</f>
        <v>4922.7486138947388</v>
      </c>
      <c r="M32" s="3"/>
      <c r="N32" s="3"/>
      <c r="O32" s="3"/>
      <c r="P32" s="3" t="s">
        <v>260</v>
      </c>
      <c r="Q32" s="3">
        <f>Q30-N30</f>
        <v>3366.93769768421</v>
      </c>
      <c r="S32" s="3"/>
      <c r="T32" s="3"/>
      <c r="U32" s="3"/>
      <c r="V32" s="3" t="s">
        <v>260</v>
      </c>
      <c r="W32" s="3">
        <f>W30-T30</f>
        <v>4606.6144244210527</v>
      </c>
    </row>
    <row r="35" spans="1:23" ht="18.75" x14ac:dyDescent="0.3">
      <c r="A35" s="95" t="s">
        <v>308</v>
      </c>
      <c r="B35" s="96"/>
      <c r="C35" s="3"/>
      <c r="D35" s="96"/>
      <c r="E35" s="96"/>
      <c r="G35" s="95" t="s">
        <v>309</v>
      </c>
      <c r="H35" s="96"/>
      <c r="I35" s="3"/>
      <c r="J35" s="96"/>
      <c r="K35" s="96"/>
      <c r="M35" s="95" t="s">
        <v>310</v>
      </c>
      <c r="N35" s="96"/>
      <c r="O35" s="3"/>
      <c r="P35" s="96"/>
      <c r="Q35" s="96"/>
      <c r="S35" s="95" t="s">
        <v>311</v>
      </c>
      <c r="T35" s="96"/>
      <c r="U35" s="3"/>
      <c r="V35" s="96"/>
      <c r="W35" s="96"/>
    </row>
    <row r="36" spans="1:23" x14ac:dyDescent="0.25">
      <c r="A36" s="3"/>
      <c r="B36" s="3"/>
      <c r="C36" s="3"/>
      <c r="D36" s="3"/>
      <c r="E36" s="3"/>
      <c r="G36" s="3"/>
      <c r="H36" s="3"/>
      <c r="I36" s="3"/>
      <c r="J36" s="3"/>
      <c r="K36" s="3"/>
      <c r="M36" s="3"/>
      <c r="N36" s="3"/>
      <c r="O36" s="3"/>
      <c r="P36" s="3"/>
      <c r="Q36" s="3"/>
      <c r="S36" s="3"/>
      <c r="T36" s="3"/>
      <c r="U36" s="3"/>
      <c r="V36" s="3"/>
      <c r="W36" s="3"/>
    </row>
    <row r="37" spans="1:23" x14ac:dyDescent="0.25">
      <c r="A37" s="3"/>
      <c r="B37" s="3"/>
      <c r="C37" s="3"/>
      <c r="D37" s="3" t="s">
        <v>249</v>
      </c>
      <c r="E37" s="3">
        <f>B39</f>
        <v>15040.6</v>
      </c>
      <c r="G37" s="3"/>
      <c r="H37" s="3"/>
      <c r="I37" s="3"/>
      <c r="J37" s="3" t="s">
        <v>249</v>
      </c>
      <c r="K37" s="3">
        <f>H39</f>
        <v>5186.1000000000004</v>
      </c>
      <c r="M37" s="3"/>
      <c r="N37" s="3"/>
      <c r="O37" s="3"/>
      <c r="P37" s="3" t="s">
        <v>249</v>
      </c>
      <c r="Q37" s="3">
        <f>N39</f>
        <v>17265.919999999998</v>
      </c>
      <c r="S37" s="3"/>
      <c r="T37" s="3"/>
      <c r="U37" s="3"/>
      <c r="V37" s="3" t="s">
        <v>249</v>
      </c>
      <c r="W37" s="3">
        <f>T39</f>
        <v>7100</v>
      </c>
    </row>
    <row r="38" spans="1:23" x14ac:dyDescent="0.25">
      <c r="A38" s="3"/>
      <c r="B38" s="3"/>
      <c r="C38" s="3"/>
      <c r="D38" s="3" t="s">
        <v>250</v>
      </c>
      <c r="E38" s="3">
        <v>21851.228947368425</v>
      </c>
      <c r="G38" s="3"/>
      <c r="H38" s="3"/>
      <c r="I38" s="3"/>
      <c r="J38" s="3" t="s">
        <v>250</v>
      </c>
      <c r="K38" s="3">
        <v>5380.3371737563102</v>
      </c>
      <c r="M38" s="3"/>
      <c r="N38" s="3"/>
      <c r="O38" s="3"/>
      <c r="P38" s="3" t="s">
        <v>250</v>
      </c>
      <c r="Q38" s="3">
        <v>25511.294736842105</v>
      </c>
      <c r="S38" s="3"/>
      <c r="T38" s="3"/>
      <c r="U38" s="3"/>
      <c r="V38" s="3" t="s">
        <v>250</v>
      </c>
      <c r="W38" s="3">
        <v>8381.5862725306415</v>
      </c>
    </row>
    <row r="39" spans="1:23" x14ac:dyDescent="0.25">
      <c r="A39" s="3" t="s">
        <v>249</v>
      </c>
      <c r="B39" s="3">
        <f>7520.3*2</f>
        <v>15040.6</v>
      </c>
      <c r="C39" s="3"/>
      <c r="D39" s="3" t="s">
        <v>251</v>
      </c>
      <c r="E39" s="3">
        <f>E37+E38</f>
        <v>36891.828947368427</v>
      </c>
      <c r="G39" s="3" t="s">
        <v>249</v>
      </c>
      <c r="H39" s="3">
        <f>2593.05*2</f>
        <v>5186.1000000000004</v>
      </c>
      <c r="I39" s="3"/>
      <c r="J39" s="3" t="s">
        <v>251</v>
      </c>
      <c r="K39" s="3">
        <f>K37+K38</f>
        <v>10566.437173756311</v>
      </c>
      <c r="M39" s="3" t="s">
        <v>249</v>
      </c>
      <c r="N39" s="3">
        <f>8632.96*2</f>
        <v>17265.919999999998</v>
      </c>
      <c r="O39" s="3"/>
      <c r="P39" s="3" t="s">
        <v>251</v>
      </c>
      <c r="Q39" s="3">
        <f>Q37+Q38</f>
        <v>42777.214736842099</v>
      </c>
      <c r="S39" s="3" t="s">
        <v>249</v>
      </c>
      <c r="T39" s="3">
        <f>3550*2</f>
        <v>7100</v>
      </c>
      <c r="U39" s="3"/>
      <c r="V39" s="3" t="s">
        <v>251</v>
      </c>
      <c r="W39" s="3">
        <f>W37+W38</f>
        <v>15481.586272530642</v>
      </c>
    </row>
    <row r="40" spans="1:23" x14ac:dyDescent="0.25">
      <c r="A40" s="3" t="s">
        <v>252</v>
      </c>
      <c r="B40" s="3">
        <v>13381.48</v>
      </c>
      <c r="C40" s="3"/>
      <c r="D40" s="3" t="s">
        <v>252</v>
      </c>
      <c r="E40" s="3">
        <v>26988.51</v>
      </c>
      <c r="G40" s="3" t="s">
        <v>252</v>
      </c>
      <c r="H40" s="3">
        <v>644.59</v>
      </c>
      <c r="I40" s="3"/>
      <c r="J40" s="3" t="s">
        <v>252</v>
      </c>
      <c r="K40" s="3">
        <v>9614.67</v>
      </c>
      <c r="M40" s="3" t="s">
        <v>252</v>
      </c>
      <c r="N40" s="3">
        <v>13381.48</v>
      </c>
      <c r="O40" s="3"/>
      <c r="P40" s="3" t="s">
        <v>252</v>
      </c>
      <c r="Q40" s="3">
        <v>42537.59</v>
      </c>
      <c r="S40" s="3" t="s">
        <v>252</v>
      </c>
      <c r="T40" s="3">
        <v>5470.93</v>
      </c>
      <c r="U40" s="3"/>
      <c r="V40" s="3" t="s">
        <v>252</v>
      </c>
      <c r="W40" s="3">
        <v>11176.63</v>
      </c>
    </row>
    <row r="41" spans="1:23" x14ac:dyDescent="0.25">
      <c r="A41" s="3" t="s">
        <v>253</v>
      </c>
      <c r="B41" s="3">
        <f>B39-B40</f>
        <v>1659.1200000000008</v>
      </c>
      <c r="C41" s="3"/>
      <c r="D41" s="3" t="s">
        <v>253</v>
      </c>
      <c r="E41" s="3">
        <f>(E39-E40)</f>
        <v>9903.3189473684288</v>
      </c>
      <c r="G41" s="3" t="s">
        <v>253</v>
      </c>
      <c r="H41" s="3">
        <f>H39-H40</f>
        <v>4541.51</v>
      </c>
      <c r="I41" s="3"/>
      <c r="J41" s="3" t="s">
        <v>253</v>
      </c>
      <c r="K41" s="3">
        <f>(K39-K40)</f>
        <v>951.76717375631051</v>
      </c>
      <c r="M41" s="3" t="s">
        <v>253</v>
      </c>
      <c r="N41" s="3">
        <f>N39-N40</f>
        <v>3884.4399999999987</v>
      </c>
      <c r="O41" s="3"/>
      <c r="P41" s="3" t="s">
        <v>253</v>
      </c>
      <c r="Q41" s="3">
        <f>(Q39-Q40)</f>
        <v>239.62473684210272</v>
      </c>
      <c r="S41" s="3" t="s">
        <v>253</v>
      </c>
      <c r="T41" s="3">
        <f>T39-T40</f>
        <v>1629.0699999999997</v>
      </c>
      <c r="U41" s="3"/>
      <c r="V41" s="3" t="s">
        <v>253</v>
      </c>
      <c r="W41" s="3">
        <f>(W39-W40)</f>
        <v>4304.9562725306423</v>
      </c>
    </row>
    <row r="42" spans="1:23" x14ac:dyDescent="0.25">
      <c r="A42" s="3" t="s">
        <v>254</v>
      </c>
      <c r="B42" s="5">
        <v>0.21360000000000001</v>
      </c>
      <c r="C42" s="3"/>
      <c r="D42" s="3" t="s">
        <v>254</v>
      </c>
      <c r="E42" s="5">
        <v>0.23519999999999999</v>
      </c>
      <c r="G42" s="3" t="s">
        <v>254</v>
      </c>
      <c r="H42" s="5">
        <v>6.4000000000000001E-2</v>
      </c>
      <c r="I42" s="3"/>
      <c r="J42" s="3" t="s">
        <v>254</v>
      </c>
      <c r="K42" s="5">
        <v>0.16</v>
      </c>
      <c r="M42" s="3" t="s">
        <v>254</v>
      </c>
      <c r="N42" s="5">
        <v>0.21360000000000001</v>
      </c>
      <c r="O42" s="3"/>
      <c r="P42" s="3" t="s">
        <v>254</v>
      </c>
      <c r="Q42" s="5">
        <v>0.3</v>
      </c>
      <c r="S42" s="3" t="s">
        <v>254</v>
      </c>
      <c r="T42" s="5">
        <v>0.10879999999999999</v>
      </c>
      <c r="U42" s="3"/>
      <c r="V42" s="3" t="s">
        <v>254</v>
      </c>
      <c r="W42" s="5">
        <v>0.1792</v>
      </c>
    </row>
    <row r="43" spans="1:23" x14ac:dyDescent="0.25">
      <c r="A43" s="3" t="s">
        <v>255</v>
      </c>
      <c r="B43" s="3">
        <f>B41*B42</f>
        <v>354.38803200000018</v>
      </c>
      <c r="C43" s="3"/>
      <c r="D43" s="3" t="s">
        <v>255</v>
      </c>
      <c r="E43" s="3">
        <f>(E41*E42)</f>
        <v>2329.2606164210542</v>
      </c>
      <c r="G43" s="3" t="s">
        <v>255</v>
      </c>
      <c r="H43" s="3">
        <f>H41*H42</f>
        <v>290.65664000000004</v>
      </c>
      <c r="I43" s="3"/>
      <c r="J43" s="3" t="s">
        <v>255</v>
      </c>
      <c r="K43" s="3">
        <f>(K41*K42)</f>
        <v>152.28274780100969</v>
      </c>
      <c r="M43" s="3" t="s">
        <v>255</v>
      </c>
      <c r="N43" s="3">
        <f>N41*N42</f>
        <v>829.71638399999972</v>
      </c>
      <c r="O43" s="3"/>
      <c r="P43" s="3" t="s">
        <v>255</v>
      </c>
      <c r="Q43" s="3">
        <f>(Q41*Q42)</f>
        <v>71.887421052630813</v>
      </c>
      <c r="S43" s="3" t="s">
        <v>255</v>
      </c>
      <c r="T43" s="3">
        <f>T41*T42</f>
        <v>177.24281599999995</v>
      </c>
      <c r="U43" s="3"/>
      <c r="V43" s="3" t="s">
        <v>255</v>
      </c>
      <c r="W43" s="3">
        <f>(W41*W42)</f>
        <v>771.4481640374911</v>
      </c>
    </row>
    <row r="44" spans="1:23" x14ac:dyDescent="0.25">
      <c r="A44" s="3" t="s">
        <v>256</v>
      </c>
      <c r="B44" s="3">
        <v>1417.12</v>
      </c>
      <c r="C44" s="3"/>
      <c r="D44" s="3" t="s">
        <v>256</v>
      </c>
      <c r="E44" s="3">
        <v>4323.58</v>
      </c>
      <c r="G44" s="3" t="s">
        <v>256</v>
      </c>
      <c r="H44" s="3">
        <v>12.38</v>
      </c>
      <c r="I44" s="3"/>
      <c r="J44" s="3" t="s">
        <v>256</v>
      </c>
      <c r="K44" s="3">
        <v>772.1</v>
      </c>
      <c r="M44" s="3" t="s">
        <v>256</v>
      </c>
      <c r="N44" s="3">
        <v>1417.12</v>
      </c>
      <c r="O44" s="3"/>
      <c r="P44" s="3" t="s">
        <v>256</v>
      </c>
      <c r="Q44" s="3">
        <v>7980.73</v>
      </c>
      <c r="S44" s="3" t="s">
        <v>256</v>
      </c>
      <c r="T44" s="3">
        <v>321.26</v>
      </c>
      <c r="U44" s="3"/>
      <c r="V44" s="3" t="s">
        <v>256</v>
      </c>
      <c r="W44" s="3">
        <v>1022.01</v>
      </c>
    </row>
    <row r="45" spans="1:23" x14ac:dyDescent="0.25">
      <c r="A45" s="3" t="s">
        <v>257</v>
      </c>
      <c r="B45" s="3">
        <f>B43+B44</f>
        <v>1771.5080320000002</v>
      </c>
      <c r="C45" s="3"/>
      <c r="D45" s="3" t="s">
        <v>257</v>
      </c>
      <c r="E45" s="3">
        <f>(E43+E44)</f>
        <v>6652.8406164210537</v>
      </c>
      <c r="G45" s="3" t="s">
        <v>257</v>
      </c>
      <c r="H45" s="3">
        <f>H43+H44</f>
        <v>303.03664000000003</v>
      </c>
      <c r="I45" s="3"/>
      <c r="J45" s="3" t="s">
        <v>257</v>
      </c>
      <c r="K45" s="3">
        <f>(K43+K44)</f>
        <v>924.38274780100971</v>
      </c>
      <c r="M45" s="3" t="s">
        <v>257</v>
      </c>
      <c r="N45" s="3">
        <f>N43+N44</f>
        <v>2246.8363839999997</v>
      </c>
      <c r="O45" s="3"/>
      <c r="P45" s="3" t="s">
        <v>257</v>
      </c>
      <c r="Q45" s="3">
        <f>(Q43+Q44)</f>
        <v>8052.6174210526306</v>
      </c>
      <c r="S45" s="3" t="s">
        <v>257</v>
      </c>
      <c r="T45" s="3">
        <f>T43+T44</f>
        <v>498.50281599999994</v>
      </c>
      <c r="U45" s="3"/>
      <c r="V45" s="3" t="s">
        <v>257</v>
      </c>
      <c r="W45" s="3">
        <f>(W43+W44)</f>
        <v>1793.4581640374911</v>
      </c>
    </row>
    <row r="46" spans="1:23" x14ac:dyDescent="0.25">
      <c r="A46" s="3" t="s">
        <v>258</v>
      </c>
      <c r="B46" s="3"/>
      <c r="C46" s="3"/>
      <c r="D46" s="3" t="s">
        <v>258</v>
      </c>
      <c r="E46" s="3"/>
      <c r="G46" s="3" t="s">
        <v>258</v>
      </c>
      <c r="H46" s="3"/>
      <c r="I46" s="3"/>
      <c r="J46" s="3" t="s">
        <v>258</v>
      </c>
      <c r="K46" s="3"/>
      <c r="M46" s="3" t="s">
        <v>258</v>
      </c>
      <c r="N46" s="3"/>
      <c r="O46" s="3"/>
      <c r="P46" s="3" t="s">
        <v>258</v>
      </c>
      <c r="Q46" s="3"/>
      <c r="S46" s="3" t="s">
        <v>258</v>
      </c>
      <c r="T46" s="3"/>
      <c r="U46" s="3"/>
      <c r="V46" s="3" t="s">
        <v>258</v>
      </c>
      <c r="W46" s="3"/>
    </row>
    <row r="47" spans="1:23" x14ac:dyDescent="0.25">
      <c r="A47" s="3" t="s">
        <v>259</v>
      </c>
      <c r="B47" s="3">
        <f>(B45-B46)</f>
        <v>1771.5080320000002</v>
      </c>
      <c r="C47" s="3"/>
      <c r="D47" s="3" t="s">
        <v>259</v>
      </c>
      <c r="E47" s="3">
        <f>(E45-E46)</f>
        <v>6652.8406164210537</v>
      </c>
      <c r="G47" s="3" t="s">
        <v>259</v>
      </c>
      <c r="H47" s="3">
        <f>(H45-H46)</f>
        <v>303.03664000000003</v>
      </c>
      <c r="I47" s="3"/>
      <c r="J47" s="3" t="s">
        <v>259</v>
      </c>
      <c r="K47" s="3">
        <f>(K45-K46)</f>
        <v>924.38274780100971</v>
      </c>
      <c r="M47" s="3" t="s">
        <v>259</v>
      </c>
      <c r="N47" s="3">
        <f>(N45-N46)</f>
        <v>2246.8363839999997</v>
      </c>
      <c r="O47" s="3"/>
      <c r="P47" s="3" t="s">
        <v>259</v>
      </c>
      <c r="Q47" s="3">
        <f>(Q45-Q46)</f>
        <v>8052.6174210526306</v>
      </c>
      <c r="S47" s="3" t="s">
        <v>259</v>
      </c>
      <c r="T47" s="3">
        <f>(T45-T46)</f>
        <v>498.50281599999994</v>
      </c>
      <c r="U47" s="3"/>
      <c r="V47" s="3" t="s">
        <v>259</v>
      </c>
      <c r="W47" s="3">
        <f>(W45-W46)</f>
        <v>1793.4581640374911</v>
      </c>
    </row>
    <row r="48" spans="1:23" x14ac:dyDescent="0.25">
      <c r="A48" s="3"/>
      <c r="B48" s="3"/>
      <c r="C48" s="3"/>
      <c r="D48" s="3"/>
      <c r="E48" s="3"/>
      <c r="G48" s="3"/>
      <c r="H48" s="3"/>
      <c r="I48" s="3"/>
      <c r="J48" s="3"/>
      <c r="K48" s="3"/>
      <c r="M48" s="3"/>
      <c r="N48" s="3"/>
      <c r="O48" s="3"/>
      <c r="P48" s="3"/>
      <c r="Q48" s="3"/>
      <c r="S48" s="3"/>
      <c r="T48" s="3"/>
      <c r="U48" s="3"/>
      <c r="V48" s="3"/>
      <c r="W48" s="3"/>
    </row>
    <row r="49" spans="1:23" x14ac:dyDescent="0.25">
      <c r="A49" s="3"/>
      <c r="B49" s="3"/>
      <c r="C49" s="3"/>
      <c r="D49" s="3" t="s">
        <v>260</v>
      </c>
      <c r="E49" s="3">
        <f>E47-B47</f>
        <v>4881.332584421054</v>
      </c>
      <c r="G49" s="3"/>
      <c r="H49" s="3"/>
      <c r="I49" s="3"/>
      <c r="J49" s="3" t="s">
        <v>260</v>
      </c>
      <c r="K49" s="3">
        <f>K47-H47</f>
        <v>621.34610780100968</v>
      </c>
      <c r="M49" s="3"/>
      <c r="N49" s="3"/>
      <c r="O49" s="3"/>
      <c r="P49" s="3" t="s">
        <v>260</v>
      </c>
      <c r="Q49" s="3">
        <f>Q47-N47</f>
        <v>5805.7810370526313</v>
      </c>
      <c r="S49" s="3"/>
      <c r="T49" s="3"/>
      <c r="U49" s="3"/>
      <c r="V49" s="3" t="s">
        <v>260</v>
      </c>
      <c r="W49" s="3">
        <f>W47-T47</f>
        <v>1294.9553480374911</v>
      </c>
    </row>
    <row r="52" spans="1:23" ht="18.75" x14ac:dyDescent="0.3">
      <c r="A52" s="95" t="s">
        <v>312</v>
      </c>
      <c r="B52" s="96"/>
      <c r="C52" s="3"/>
      <c r="D52" s="96"/>
      <c r="E52" s="96"/>
      <c r="G52" s="95" t="s">
        <v>313</v>
      </c>
      <c r="H52" s="96"/>
      <c r="I52" s="3"/>
      <c r="J52" s="96"/>
      <c r="K52" s="96"/>
      <c r="M52" s="95" t="s">
        <v>314</v>
      </c>
      <c r="N52" s="96"/>
      <c r="O52" s="3"/>
      <c r="P52" s="96"/>
      <c r="Q52" s="96"/>
      <c r="S52" s="95" t="s">
        <v>315</v>
      </c>
      <c r="T52" s="96"/>
      <c r="U52" s="3"/>
      <c r="V52" s="96"/>
      <c r="W52" s="96"/>
    </row>
    <row r="53" spans="1:23" x14ac:dyDescent="0.25">
      <c r="A53" s="3"/>
      <c r="B53" s="3"/>
      <c r="C53" s="3"/>
      <c r="D53" s="3"/>
      <c r="E53" s="3"/>
      <c r="G53" s="3"/>
      <c r="H53" s="3"/>
      <c r="I53" s="3"/>
      <c r="J53" s="3"/>
      <c r="K53" s="3"/>
      <c r="M53" s="3"/>
      <c r="N53" s="3"/>
      <c r="O53" s="3"/>
      <c r="P53" s="3"/>
      <c r="Q53" s="3"/>
      <c r="S53" s="3"/>
      <c r="T53" s="3"/>
      <c r="U53" s="3"/>
      <c r="V53" s="3"/>
      <c r="W53" s="3"/>
    </row>
    <row r="54" spans="1:23" x14ac:dyDescent="0.25">
      <c r="A54" s="3"/>
      <c r="B54" s="3"/>
      <c r="C54" s="3"/>
      <c r="D54" s="3" t="s">
        <v>249</v>
      </c>
      <c r="E54" s="3">
        <f>B56</f>
        <v>7800</v>
      </c>
      <c r="G54" s="3"/>
      <c r="H54" s="3"/>
      <c r="I54" s="3"/>
      <c r="J54" s="3" t="s">
        <v>249</v>
      </c>
      <c r="K54" s="3">
        <f>H56</f>
        <v>7609.64</v>
      </c>
      <c r="M54" s="3"/>
      <c r="N54" s="3"/>
      <c r="O54" s="3"/>
      <c r="P54" s="3" t="s">
        <v>249</v>
      </c>
      <c r="Q54" s="3">
        <f>N56</f>
        <v>8686.84</v>
      </c>
      <c r="S54" s="3"/>
      <c r="T54" s="3"/>
      <c r="U54" s="3"/>
      <c r="V54" s="3" t="s">
        <v>249</v>
      </c>
      <c r="W54" s="3">
        <f>T56</f>
        <v>7786.92</v>
      </c>
    </row>
    <row r="55" spans="1:23" x14ac:dyDescent="0.25">
      <c r="A55" s="3"/>
      <c r="B55" s="3"/>
      <c r="C55" s="3"/>
      <c r="D55" s="3" t="s">
        <v>250</v>
      </c>
      <c r="E55" s="3">
        <v>9942.3473684210512</v>
      </c>
      <c r="G55" s="3"/>
      <c r="H55" s="3"/>
      <c r="I55" s="3"/>
      <c r="J55" s="3" t="s">
        <v>250</v>
      </c>
      <c r="K55" s="3">
        <v>5144.3966474405206</v>
      </c>
      <c r="M55" s="3"/>
      <c r="N55" s="3"/>
      <c r="O55" s="3"/>
      <c r="P55" s="3" t="s">
        <v>250</v>
      </c>
      <c r="Q55" s="3">
        <v>4997.683633741889</v>
      </c>
      <c r="S55" s="3"/>
      <c r="T55" s="3"/>
      <c r="U55" s="3"/>
      <c r="V55" s="3" t="s">
        <v>250</v>
      </c>
      <c r="W55" s="3">
        <v>9920.8342105263146</v>
      </c>
    </row>
    <row r="56" spans="1:23" x14ac:dyDescent="0.25">
      <c r="A56" s="3" t="s">
        <v>249</v>
      </c>
      <c r="B56" s="3">
        <f>3900*2</f>
        <v>7800</v>
      </c>
      <c r="C56" s="3"/>
      <c r="D56" s="3" t="s">
        <v>251</v>
      </c>
      <c r="E56" s="3">
        <f>E54+E55</f>
        <v>17742.347368421051</v>
      </c>
      <c r="G56" s="3" t="s">
        <v>249</v>
      </c>
      <c r="H56" s="3">
        <f>3804.82*2</f>
        <v>7609.64</v>
      </c>
      <c r="I56" s="3"/>
      <c r="J56" s="3" t="s">
        <v>251</v>
      </c>
      <c r="K56" s="3">
        <f>K54+K55</f>
        <v>12754.03664744052</v>
      </c>
      <c r="M56" s="3" t="s">
        <v>249</v>
      </c>
      <c r="N56" s="3">
        <f>4343.42*2</f>
        <v>8686.84</v>
      </c>
      <c r="O56" s="3"/>
      <c r="P56" s="3" t="s">
        <v>251</v>
      </c>
      <c r="Q56" s="3">
        <f>Q54+Q55</f>
        <v>13684.52363374189</v>
      </c>
      <c r="S56" s="3" t="s">
        <v>249</v>
      </c>
      <c r="T56" s="3">
        <f>3893.46*2</f>
        <v>7786.92</v>
      </c>
      <c r="U56" s="3"/>
      <c r="V56" s="3" t="s">
        <v>251</v>
      </c>
      <c r="W56" s="3">
        <f>W54+W55</f>
        <v>17707.754210526313</v>
      </c>
    </row>
    <row r="57" spans="1:23" x14ac:dyDescent="0.25">
      <c r="A57" s="3" t="s">
        <v>252</v>
      </c>
      <c r="B57" s="3">
        <v>5470.93</v>
      </c>
      <c r="C57" s="3"/>
      <c r="D57" s="3" t="s">
        <v>252</v>
      </c>
      <c r="E57" s="3">
        <v>13381.48</v>
      </c>
      <c r="G57" s="3" t="s">
        <v>252</v>
      </c>
      <c r="H57" s="3">
        <v>5470.93</v>
      </c>
      <c r="I57" s="3"/>
      <c r="J57" s="3" t="s">
        <v>252</v>
      </c>
      <c r="K57" s="3">
        <v>11176.63</v>
      </c>
      <c r="M57" s="3" t="s">
        <v>252</v>
      </c>
      <c r="N57" s="3">
        <v>5470.93</v>
      </c>
      <c r="O57" s="3"/>
      <c r="P57" s="3" t="s">
        <v>252</v>
      </c>
      <c r="Q57" s="3">
        <v>13381.48</v>
      </c>
      <c r="S57" s="3" t="s">
        <v>252</v>
      </c>
      <c r="T57" s="3">
        <v>5470.93</v>
      </c>
      <c r="U57" s="3"/>
      <c r="V57" s="3" t="s">
        <v>252</v>
      </c>
      <c r="W57" s="3">
        <v>13381.48</v>
      </c>
    </row>
    <row r="58" spans="1:23" x14ac:dyDescent="0.25">
      <c r="A58" s="3" t="s">
        <v>253</v>
      </c>
      <c r="B58" s="3">
        <f>B56-B57</f>
        <v>2329.0699999999997</v>
      </c>
      <c r="C58" s="3"/>
      <c r="D58" s="3" t="s">
        <v>253</v>
      </c>
      <c r="E58" s="3">
        <f>(E56-E57)</f>
        <v>4360.8673684210517</v>
      </c>
      <c r="G58" s="3" t="s">
        <v>253</v>
      </c>
      <c r="H58" s="3">
        <f>H56-H57</f>
        <v>2138.71</v>
      </c>
      <c r="I58" s="3"/>
      <c r="J58" s="3" t="s">
        <v>253</v>
      </c>
      <c r="K58" s="3">
        <f>(K56-K57)</f>
        <v>1577.4066474405208</v>
      </c>
      <c r="M58" s="3" t="s">
        <v>253</v>
      </c>
      <c r="N58" s="3">
        <f>N56-N57</f>
        <v>3215.91</v>
      </c>
      <c r="O58" s="3"/>
      <c r="P58" s="3" t="s">
        <v>253</v>
      </c>
      <c r="Q58" s="3">
        <f>(Q56-Q57)</f>
        <v>303.04363374189052</v>
      </c>
      <c r="S58" s="3" t="s">
        <v>253</v>
      </c>
      <c r="T58" s="3">
        <f>T56-T57</f>
        <v>2315.9899999999998</v>
      </c>
      <c r="U58" s="3"/>
      <c r="V58" s="3" t="s">
        <v>253</v>
      </c>
      <c r="W58" s="3">
        <f>(W56-W57)</f>
        <v>4326.2742105263133</v>
      </c>
    </row>
    <row r="59" spans="1:23" x14ac:dyDescent="0.25">
      <c r="A59" s="3" t="s">
        <v>254</v>
      </c>
      <c r="B59" s="5">
        <v>0.10879999999999999</v>
      </c>
      <c r="C59" s="3"/>
      <c r="D59" s="3" t="s">
        <v>254</v>
      </c>
      <c r="E59" s="5">
        <v>0.21360000000000001</v>
      </c>
      <c r="G59" s="3" t="s">
        <v>254</v>
      </c>
      <c r="H59" s="5">
        <v>0.10879999999999999</v>
      </c>
      <c r="I59" s="3"/>
      <c r="J59" s="3" t="s">
        <v>254</v>
      </c>
      <c r="K59" s="5">
        <v>0.1792</v>
      </c>
      <c r="M59" s="3" t="s">
        <v>254</v>
      </c>
      <c r="N59" s="5">
        <v>0.10879999999999999</v>
      </c>
      <c r="O59" s="3"/>
      <c r="P59" s="3" t="s">
        <v>254</v>
      </c>
      <c r="Q59" s="5">
        <v>0.21360000000000001</v>
      </c>
      <c r="S59" s="3" t="s">
        <v>254</v>
      </c>
      <c r="T59" s="5">
        <v>0.10879999999999999</v>
      </c>
      <c r="U59" s="3"/>
      <c r="V59" s="3" t="s">
        <v>254</v>
      </c>
      <c r="W59" s="5">
        <v>0.21360000000000001</v>
      </c>
    </row>
    <row r="60" spans="1:23" x14ac:dyDescent="0.25">
      <c r="A60" s="3" t="s">
        <v>255</v>
      </c>
      <c r="B60" s="3">
        <f>B58*B59</f>
        <v>253.40281599999994</v>
      </c>
      <c r="C60" s="3"/>
      <c r="D60" s="3" t="s">
        <v>255</v>
      </c>
      <c r="E60" s="3">
        <f>(E58*E59)</f>
        <v>931.48126989473667</v>
      </c>
      <c r="G60" s="3" t="s">
        <v>255</v>
      </c>
      <c r="H60" s="3">
        <f>H58*H59</f>
        <v>232.69164799999999</v>
      </c>
      <c r="I60" s="3"/>
      <c r="J60" s="3" t="s">
        <v>255</v>
      </c>
      <c r="K60" s="3">
        <f>(K58*K59)</f>
        <v>282.67127122134133</v>
      </c>
      <c r="M60" s="3" t="s">
        <v>255</v>
      </c>
      <c r="N60" s="3">
        <f>N58*N59</f>
        <v>349.89100799999994</v>
      </c>
      <c r="O60" s="3"/>
      <c r="P60" s="3" t="s">
        <v>255</v>
      </c>
      <c r="Q60" s="3">
        <f>(Q58*Q59)</f>
        <v>64.730120167267813</v>
      </c>
      <c r="S60" s="3" t="s">
        <v>255</v>
      </c>
      <c r="T60" s="3">
        <f>T58*T59</f>
        <v>251.97971199999995</v>
      </c>
      <c r="U60" s="3"/>
      <c r="V60" s="3" t="s">
        <v>255</v>
      </c>
      <c r="W60" s="3">
        <f>(W58*W59)</f>
        <v>924.09217136842051</v>
      </c>
    </row>
    <row r="61" spans="1:23" x14ac:dyDescent="0.25">
      <c r="A61" s="3" t="s">
        <v>256</v>
      </c>
      <c r="B61" s="3">
        <v>321.26</v>
      </c>
      <c r="C61" s="3"/>
      <c r="D61" s="3" t="s">
        <v>256</v>
      </c>
      <c r="E61" s="3">
        <v>1417.12</v>
      </c>
      <c r="G61" s="3" t="s">
        <v>256</v>
      </c>
      <c r="H61" s="3">
        <v>321.26</v>
      </c>
      <c r="I61" s="3"/>
      <c r="J61" s="3" t="s">
        <v>256</v>
      </c>
      <c r="K61" s="3">
        <v>1022.01</v>
      </c>
      <c r="M61" s="3" t="s">
        <v>256</v>
      </c>
      <c r="N61" s="3">
        <v>321.26</v>
      </c>
      <c r="O61" s="3"/>
      <c r="P61" s="3" t="s">
        <v>256</v>
      </c>
      <c r="Q61" s="3">
        <v>1417.12</v>
      </c>
      <c r="S61" s="3" t="s">
        <v>256</v>
      </c>
      <c r="T61" s="3">
        <v>321.26</v>
      </c>
      <c r="U61" s="3"/>
      <c r="V61" s="3" t="s">
        <v>256</v>
      </c>
      <c r="W61" s="3">
        <v>1417.12</v>
      </c>
    </row>
    <row r="62" spans="1:23" x14ac:dyDescent="0.25">
      <c r="A62" s="3" t="s">
        <v>257</v>
      </c>
      <c r="B62" s="3">
        <f>B60+B61</f>
        <v>574.66281599999991</v>
      </c>
      <c r="C62" s="3"/>
      <c r="D62" s="3" t="s">
        <v>257</v>
      </c>
      <c r="E62" s="3">
        <f>(E60+E61)</f>
        <v>2348.6012698947366</v>
      </c>
      <c r="G62" s="3" t="s">
        <v>257</v>
      </c>
      <c r="H62" s="3">
        <f>H60+H61</f>
        <v>553.95164799999998</v>
      </c>
      <c r="I62" s="3"/>
      <c r="J62" s="3" t="s">
        <v>257</v>
      </c>
      <c r="K62" s="3">
        <f>(K60+K61)</f>
        <v>1304.6812712213414</v>
      </c>
      <c r="M62" s="3" t="s">
        <v>257</v>
      </c>
      <c r="N62" s="3">
        <f>N60+N61</f>
        <v>671.15100799999993</v>
      </c>
      <c r="O62" s="3"/>
      <c r="P62" s="3" t="s">
        <v>257</v>
      </c>
      <c r="Q62" s="3">
        <f>(Q60+Q61)</f>
        <v>1481.8501201672677</v>
      </c>
      <c r="S62" s="3" t="s">
        <v>257</v>
      </c>
      <c r="T62" s="3">
        <f>T60+T61</f>
        <v>573.23971199999994</v>
      </c>
      <c r="U62" s="3"/>
      <c r="V62" s="3" t="s">
        <v>257</v>
      </c>
      <c r="W62" s="3">
        <f>(W60+W61)</f>
        <v>2341.2121713684205</v>
      </c>
    </row>
    <row r="63" spans="1:23" x14ac:dyDescent="0.25">
      <c r="A63" s="3" t="s">
        <v>258</v>
      </c>
      <c r="B63" s="3"/>
      <c r="C63" s="3"/>
      <c r="D63" s="3" t="s">
        <v>258</v>
      </c>
      <c r="E63" s="3"/>
      <c r="G63" s="3" t="s">
        <v>258</v>
      </c>
      <c r="H63" s="3"/>
      <c r="I63" s="3"/>
      <c r="J63" s="3" t="s">
        <v>258</v>
      </c>
      <c r="K63" s="3"/>
      <c r="M63" s="3" t="s">
        <v>258</v>
      </c>
      <c r="N63" s="3"/>
      <c r="O63" s="3"/>
      <c r="P63" s="3" t="s">
        <v>258</v>
      </c>
      <c r="Q63" s="3"/>
      <c r="S63" s="3" t="s">
        <v>258</v>
      </c>
      <c r="T63" s="3"/>
      <c r="U63" s="3"/>
      <c r="V63" s="3" t="s">
        <v>258</v>
      </c>
      <c r="W63" s="3"/>
    </row>
    <row r="64" spans="1:23" x14ac:dyDescent="0.25">
      <c r="A64" s="3" t="s">
        <v>259</v>
      </c>
      <c r="B64" s="3">
        <f>(B62-B63)</f>
        <v>574.66281599999991</v>
      </c>
      <c r="C64" s="3"/>
      <c r="D64" s="3" t="s">
        <v>259</v>
      </c>
      <c r="E64" s="3">
        <f>(E62-E63)</f>
        <v>2348.6012698947366</v>
      </c>
      <c r="G64" s="3" t="s">
        <v>259</v>
      </c>
      <c r="H64" s="3">
        <f>(H62-H63)</f>
        <v>553.95164799999998</v>
      </c>
      <c r="I64" s="3"/>
      <c r="J64" s="3" t="s">
        <v>259</v>
      </c>
      <c r="K64" s="3">
        <f>(K62-K63)</f>
        <v>1304.6812712213414</v>
      </c>
      <c r="M64" s="3" t="s">
        <v>259</v>
      </c>
      <c r="N64" s="3">
        <f>(N62-N63)</f>
        <v>671.15100799999993</v>
      </c>
      <c r="O64" s="3"/>
      <c r="P64" s="3" t="s">
        <v>259</v>
      </c>
      <c r="Q64" s="3">
        <f>(Q62-Q63)</f>
        <v>1481.8501201672677</v>
      </c>
      <c r="S64" s="3" t="s">
        <v>259</v>
      </c>
      <c r="T64" s="3">
        <f>(T62-T63)</f>
        <v>573.23971199999994</v>
      </c>
      <c r="U64" s="3"/>
      <c r="V64" s="3" t="s">
        <v>259</v>
      </c>
      <c r="W64" s="3">
        <f>(W62-W63)</f>
        <v>2341.2121713684205</v>
      </c>
    </row>
    <row r="65" spans="1:23" x14ac:dyDescent="0.25">
      <c r="A65" s="3"/>
      <c r="B65" s="3"/>
      <c r="C65" s="3"/>
      <c r="D65" s="3"/>
      <c r="E65" s="3"/>
      <c r="G65" s="3"/>
      <c r="H65" s="3"/>
      <c r="I65" s="3"/>
      <c r="J65" s="3"/>
      <c r="K65" s="3"/>
      <c r="M65" s="3"/>
      <c r="N65" s="3"/>
      <c r="O65" s="3"/>
      <c r="P65" s="3"/>
      <c r="Q65" s="3"/>
      <c r="S65" s="3"/>
      <c r="T65" s="3"/>
      <c r="U65" s="3"/>
      <c r="V65" s="3"/>
      <c r="W65" s="3"/>
    </row>
    <row r="66" spans="1:23" x14ac:dyDescent="0.25">
      <c r="A66" s="3"/>
      <c r="B66" s="3"/>
      <c r="C66" s="3"/>
      <c r="D66" s="3" t="s">
        <v>260</v>
      </c>
      <c r="E66" s="3">
        <f>E64-B64</f>
        <v>1773.9384538947365</v>
      </c>
      <c r="G66" s="3"/>
      <c r="H66" s="3"/>
      <c r="I66" s="3"/>
      <c r="J66" s="3" t="s">
        <v>260</v>
      </c>
      <c r="K66" s="3">
        <f>K64-H64</f>
        <v>750.7296232213414</v>
      </c>
      <c r="M66" s="3"/>
      <c r="N66" s="3"/>
      <c r="O66" s="3"/>
      <c r="P66" s="3" t="s">
        <v>260</v>
      </c>
      <c r="Q66" s="3">
        <f>Q64-N64</f>
        <v>810.6991121672678</v>
      </c>
      <c r="S66" s="3"/>
      <c r="T66" s="3"/>
      <c r="U66" s="3"/>
      <c r="V66" s="3" t="s">
        <v>260</v>
      </c>
      <c r="W66" s="3">
        <f>W64-T64</f>
        <v>1767.9724593684205</v>
      </c>
    </row>
    <row r="69" spans="1:23" ht="18.75" x14ac:dyDescent="0.3">
      <c r="A69" s="95" t="s">
        <v>316</v>
      </c>
      <c r="B69" s="96"/>
      <c r="C69" s="3"/>
      <c r="D69" s="96"/>
      <c r="E69" s="96"/>
      <c r="G69" s="95" t="s">
        <v>317</v>
      </c>
      <c r="H69" s="96"/>
      <c r="I69" s="3"/>
      <c r="J69" s="96"/>
      <c r="K69" s="96"/>
      <c r="M69" s="95" t="s">
        <v>318</v>
      </c>
      <c r="N69" s="96"/>
      <c r="O69" s="3"/>
      <c r="P69" s="96"/>
      <c r="Q69" s="96"/>
      <c r="S69" s="95" t="s">
        <v>319</v>
      </c>
      <c r="T69" s="96"/>
      <c r="U69" s="3"/>
      <c r="V69" s="96"/>
      <c r="W69" s="96"/>
    </row>
    <row r="70" spans="1:23" x14ac:dyDescent="0.25">
      <c r="A70" s="3"/>
      <c r="B70" s="3"/>
      <c r="C70" s="3"/>
      <c r="D70" s="3"/>
      <c r="E70" s="3"/>
      <c r="G70" s="3"/>
      <c r="H70" s="3"/>
      <c r="I70" s="3"/>
      <c r="J70" s="3"/>
      <c r="K70" s="3"/>
      <c r="M70" s="3"/>
      <c r="N70" s="3"/>
      <c r="O70" s="3"/>
      <c r="P70" s="3"/>
      <c r="Q70" s="3"/>
      <c r="S70" s="3"/>
      <c r="T70" s="3"/>
      <c r="U70" s="3"/>
      <c r="V70" s="3"/>
      <c r="W70" s="3"/>
    </row>
    <row r="71" spans="1:23" x14ac:dyDescent="0.25">
      <c r="A71" s="3"/>
      <c r="B71" s="3"/>
      <c r="C71" s="3"/>
      <c r="D71" s="3" t="s">
        <v>249</v>
      </c>
      <c r="E71" s="3">
        <f>B73</f>
        <v>6388.58</v>
      </c>
      <c r="G71" s="3"/>
      <c r="H71" s="3"/>
      <c r="I71" s="3"/>
      <c r="J71" s="3" t="s">
        <v>249</v>
      </c>
      <c r="K71" s="3">
        <f>H73</f>
        <v>5186.1000000000004</v>
      </c>
      <c r="M71" s="3"/>
      <c r="N71" s="3"/>
      <c r="O71" s="3"/>
      <c r="P71" s="3" t="s">
        <v>249</v>
      </c>
      <c r="Q71" s="3">
        <f>N73</f>
        <v>6148.46</v>
      </c>
      <c r="S71" s="3"/>
      <c r="T71" s="3"/>
      <c r="U71" s="3"/>
      <c r="V71" s="3" t="s">
        <v>249</v>
      </c>
      <c r="W71" s="3">
        <f>T73</f>
        <v>6929.44</v>
      </c>
    </row>
    <row r="72" spans="1:23" x14ac:dyDescent="0.25">
      <c r="A72" s="3"/>
      <c r="B72" s="3"/>
      <c r="C72" s="3"/>
      <c r="D72" s="3" t="s">
        <v>250</v>
      </c>
      <c r="E72" s="3">
        <v>7620.9328947368413</v>
      </c>
      <c r="G72" s="3"/>
      <c r="H72" s="3"/>
      <c r="I72" s="3"/>
      <c r="J72" s="3" t="s">
        <v>250</v>
      </c>
      <c r="K72" s="3">
        <v>5643.1697368421064</v>
      </c>
      <c r="M72" s="3"/>
      <c r="N72" s="3"/>
      <c r="O72" s="3"/>
      <c r="P72" s="3" t="s">
        <v>250</v>
      </c>
      <c r="Q72" s="3">
        <v>7225.9986842105263</v>
      </c>
      <c r="S72" s="3"/>
      <c r="T72" s="3"/>
      <c r="U72" s="3"/>
      <c r="V72" s="3" t="s">
        <v>250</v>
      </c>
      <c r="W72" s="3">
        <v>8510.5052631578947</v>
      </c>
    </row>
    <row r="73" spans="1:23" x14ac:dyDescent="0.25">
      <c r="A73" s="3" t="s">
        <v>249</v>
      </c>
      <c r="B73" s="3">
        <f>3194.29*2</f>
        <v>6388.58</v>
      </c>
      <c r="C73" s="3"/>
      <c r="D73" s="3" t="s">
        <v>251</v>
      </c>
      <c r="E73" s="3">
        <f>E71+E72</f>
        <v>14009.512894736841</v>
      </c>
      <c r="G73" s="3" t="s">
        <v>249</v>
      </c>
      <c r="H73" s="3">
        <f>2593.05*2</f>
        <v>5186.1000000000004</v>
      </c>
      <c r="I73" s="3"/>
      <c r="J73" s="3" t="s">
        <v>251</v>
      </c>
      <c r="K73" s="3">
        <f>K71+K72</f>
        <v>10829.269736842107</v>
      </c>
      <c r="M73" s="3" t="s">
        <v>249</v>
      </c>
      <c r="N73" s="3">
        <f>3074.23*2</f>
        <v>6148.46</v>
      </c>
      <c r="O73" s="3"/>
      <c r="P73" s="3" t="s">
        <v>251</v>
      </c>
      <c r="Q73" s="3">
        <f>Q71+Q72</f>
        <v>13374.458684210527</v>
      </c>
      <c r="S73" s="3" t="s">
        <v>249</v>
      </c>
      <c r="T73" s="3">
        <f>3464.72*2</f>
        <v>6929.44</v>
      </c>
      <c r="U73" s="3"/>
      <c r="V73" s="3" t="s">
        <v>251</v>
      </c>
      <c r="W73" s="3">
        <f>W71+W72</f>
        <v>15439.945263157893</v>
      </c>
    </row>
    <row r="74" spans="1:23" x14ac:dyDescent="0.25">
      <c r="A74" s="3" t="s">
        <v>252</v>
      </c>
      <c r="B74" s="3">
        <v>5470.93</v>
      </c>
      <c r="C74" s="3"/>
      <c r="D74" s="3" t="s">
        <v>252</v>
      </c>
      <c r="E74" s="3">
        <v>13381.48</v>
      </c>
      <c r="G74" s="3" t="s">
        <v>252</v>
      </c>
      <c r="H74" s="3">
        <v>644.59</v>
      </c>
      <c r="I74" s="3"/>
      <c r="J74" s="3" t="s">
        <v>252</v>
      </c>
      <c r="K74" s="3">
        <v>9614.67</v>
      </c>
      <c r="M74" s="3" t="s">
        <v>252</v>
      </c>
      <c r="N74" s="3">
        <v>5470.93</v>
      </c>
      <c r="O74" s="3"/>
      <c r="P74" s="3" t="s">
        <v>252</v>
      </c>
      <c r="Q74" s="3">
        <v>11176.63</v>
      </c>
      <c r="S74" s="3" t="s">
        <v>252</v>
      </c>
      <c r="T74" s="3">
        <v>5470.93</v>
      </c>
      <c r="U74" s="3"/>
      <c r="V74" s="3" t="s">
        <v>252</v>
      </c>
      <c r="W74" s="3">
        <v>13381.48</v>
      </c>
    </row>
    <row r="75" spans="1:23" x14ac:dyDescent="0.25">
      <c r="A75" s="3" t="s">
        <v>253</v>
      </c>
      <c r="B75" s="3">
        <f>B73-B74</f>
        <v>917.64999999999964</v>
      </c>
      <c r="C75" s="3"/>
      <c r="D75" s="3" t="s">
        <v>253</v>
      </c>
      <c r="E75" s="3">
        <f>(E73-E74)</f>
        <v>628.03289473684163</v>
      </c>
      <c r="G75" s="3" t="s">
        <v>253</v>
      </c>
      <c r="H75" s="3">
        <f>H73-H74</f>
        <v>4541.51</v>
      </c>
      <c r="I75" s="3"/>
      <c r="J75" s="3" t="s">
        <v>253</v>
      </c>
      <c r="K75" s="3">
        <f>(K73-K74)</f>
        <v>1214.5997368421067</v>
      </c>
      <c r="M75" s="3" t="s">
        <v>253</v>
      </c>
      <c r="N75" s="3">
        <f>N73-N74</f>
        <v>677.52999999999975</v>
      </c>
      <c r="O75" s="3"/>
      <c r="P75" s="3" t="s">
        <v>253</v>
      </c>
      <c r="Q75" s="3">
        <f>(Q73-Q74)</f>
        <v>2197.8286842105281</v>
      </c>
      <c r="S75" s="3" t="s">
        <v>253</v>
      </c>
      <c r="T75" s="3">
        <f>T73-T74</f>
        <v>1458.5099999999993</v>
      </c>
      <c r="U75" s="3"/>
      <c r="V75" s="3" t="s">
        <v>253</v>
      </c>
      <c r="W75" s="3">
        <f>(W73-W74)</f>
        <v>2058.4652631578938</v>
      </c>
    </row>
    <row r="76" spans="1:23" x14ac:dyDescent="0.25">
      <c r="A76" s="3" t="s">
        <v>254</v>
      </c>
      <c r="B76" s="5">
        <v>0.10879999999999999</v>
      </c>
      <c r="C76" s="3"/>
      <c r="D76" s="3" t="s">
        <v>254</v>
      </c>
      <c r="E76" s="5">
        <v>0.21360000000000001</v>
      </c>
      <c r="G76" s="3" t="s">
        <v>254</v>
      </c>
      <c r="H76" s="5">
        <v>6.4000000000000001E-2</v>
      </c>
      <c r="I76" s="3"/>
      <c r="J76" s="3" t="s">
        <v>254</v>
      </c>
      <c r="K76" s="5">
        <v>0.16</v>
      </c>
      <c r="M76" s="3" t="s">
        <v>254</v>
      </c>
      <c r="N76" s="5">
        <v>0.10879999999999999</v>
      </c>
      <c r="O76" s="3"/>
      <c r="P76" s="3" t="s">
        <v>254</v>
      </c>
      <c r="Q76" s="5">
        <v>0.1792</v>
      </c>
      <c r="S76" s="3" t="s">
        <v>254</v>
      </c>
      <c r="T76" s="5">
        <v>0.10879999999999999</v>
      </c>
      <c r="U76" s="3"/>
      <c r="V76" s="3" t="s">
        <v>254</v>
      </c>
      <c r="W76" s="5">
        <v>0.21360000000000001</v>
      </c>
    </row>
    <row r="77" spans="1:23" x14ac:dyDescent="0.25">
      <c r="A77" s="3" t="s">
        <v>255</v>
      </c>
      <c r="B77" s="3">
        <f>B75*B76</f>
        <v>99.840319999999949</v>
      </c>
      <c r="C77" s="3"/>
      <c r="D77" s="3" t="s">
        <v>255</v>
      </c>
      <c r="E77" s="3">
        <f>(E75*E76)</f>
        <v>134.14782631578939</v>
      </c>
      <c r="G77" s="3" t="s">
        <v>255</v>
      </c>
      <c r="H77" s="3">
        <f>H75*H76</f>
        <v>290.65664000000004</v>
      </c>
      <c r="I77" s="3"/>
      <c r="J77" s="3" t="s">
        <v>255</v>
      </c>
      <c r="K77" s="3">
        <f>(K75*K76)</f>
        <v>194.33595789473708</v>
      </c>
      <c r="M77" s="3" t="s">
        <v>255</v>
      </c>
      <c r="N77" s="3">
        <f>N75*N76</f>
        <v>73.715263999999962</v>
      </c>
      <c r="O77" s="3"/>
      <c r="P77" s="3" t="s">
        <v>255</v>
      </c>
      <c r="Q77" s="3">
        <f>(Q75*Q76)</f>
        <v>393.85090021052662</v>
      </c>
      <c r="S77" s="3" t="s">
        <v>255</v>
      </c>
      <c r="T77" s="3">
        <f>T75*T76</f>
        <v>158.68588799999992</v>
      </c>
      <c r="U77" s="3"/>
      <c r="V77" s="3" t="s">
        <v>255</v>
      </c>
      <c r="W77" s="3">
        <f>(W75*W76)</f>
        <v>439.68818021052613</v>
      </c>
    </row>
    <row r="78" spans="1:23" x14ac:dyDescent="0.25">
      <c r="A78" s="3" t="s">
        <v>256</v>
      </c>
      <c r="B78" s="3">
        <v>321.26</v>
      </c>
      <c r="C78" s="3"/>
      <c r="D78" s="3" t="s">
        <v>256</v>
      </c>
      <c r="E78" s="3">
        <v>1417.12</v>
      </c>
      <c r="G78" s="3" t="s">
        <v>256</v>
      </c>
      <c r="H78" s="3">
        <v>12.38</v>
      </c>
      <c r="I78" s="3"/>
      <c r="J78" s="3" t="s">
        <v>256</v>
      </c>
      <c r="K78" s="3">
        <v>772.1</v>
      </c>
      <c r="M78" s="3" t="s">
        <v>256</v>
      </c>
      <c r="N78" s="3">
        <v>321.26</v>
      </c>
      <c r="O78" s="3"/>
      <c r="P78" s="3" t="s">
        <v>256</v>
      </c>
      <c r="Q78" s="3">
        <v>1022.01</v>
      </c>
      <c r="S78" s="3" t="s">
        <v>256</v>
      </c>
      <c r="T78" s="3">
        <v>321.26</v>
      </c>
      <c r="U78" s="3"/>
      <c r="V78" s="3" t="s">
        <v>256</v>
      </c>
      <c r="W78" s="3">
        <v>1417.12</v>
      </c>
    </row>
    <row r="79" spans="1:23" x14ac:dyDescent="0.25">
      <c r="A79" s="3" t="s">
        <v>257</v>
      </c>
      <c r="B79" s="3">
        <f>B77+B78</f>
        <v>421.10031999999995</v>
      </c>
      <c r="C79" s="3"/>
      <c r="D79" s="3" t="s">
        <v>257</v>
      </c>
      <c r="E79" s="3">
        <f>(E77+E78)</f>
        <v>1551.2678263157893</v>
      </c>
      <c r="G79" s="3" t="s">
        <v>257</v>
      </c>
      <c r="H79" s="3">
        <f>H77+H78</f>
        <v>303.03664000000003</v>
      </c>
      <c r="I79" s="3"/>
      <c r="J79" s="3" t="s">
        <v>257</v>
      </c>
      <c r="K79" s="3">
        <f>(K77+K78)</f>
        <v>966.43595789473716</v>
      </c>
      <c r="M79" s="3" t="s">
        <v>257</v>
      </c>
      <c r="N79" s="3">
        <f>N77+N78</f>
        <v>394.97526399999992</v>
      </c>
      <c r="O79" s="3"/>
      <c r="P79" s="3" t="s">
        <v>257</v>
      </c>
      <c r="Q79" s="3">
        <f>(Q77+Q78)</f>
        <v>1415.8609002105266</v>
      </c>
      <c r="S79" s="3" t="s">
        <v>257</v>
      </c>
      <c r="T79" s="3">
        <f>T77+T78</f>
        <v>479.94588799999991</v>
      </c>
      <c r="U79" s="3"/>
      <c r="V79" s="3" t="s">
        <v>257</v>
      </c>
      <c r="W79" s="3">
        <f>(W77+W78)</f>
        <v>1856.808180210526</v>
      </c>
    </row>
    <row r="80" spans="1:23" x14ac:dyDescent="0.25">
      <c r="A80" s="3" t="s">
        <v>258</v>
      </c>
      <c r="B80" s="3"/>
      <c r="C80" s="3"/>
      <c r="D80" s="3" t="s">
        <v>258</v>
      </c>
      <c r="E80" s="3"/>
      <c r="G80" s="3" t="s">
        <v>258</v>
      </c>
      <c r="H80" s="3"/>
      <c r="I80" s="3"/>
      <c r="J80" s="3" t="s">
        <v>258</v>
      </c>
      <c r="K80" s="3"/>
      <c r="M80" s="3" t="s">
        <v>258</v>
      </c>
      <c r="N80" s="3"/>
      <c r="O80" s="3"/>
      <c r="P80" s="3" t="s">
        <v>258</v>
      </c>
      <c r="Q80" s="3"/>
      <c r="S80" s="3" t="s">
        <v>258</v>
      </c>
      <c r="T80" s="3"/>
      <c r="U80" s="3"/>
      <c r="V80" s="3" t="s">
        <v>258</v>
      </c>
      <c r="W80" s="3"/>
    </row>
    <row r="81" spans="1:23" x14ac:dyDescent="0.25">
      <c r="A81" s="3" t="s">
        <v>259</v>
      </c>
      <c r="B81" s="3">
        <f>(B79-B80)</f>
        <v>421.10031999999995</v>
      </c>
      <c r="C81" s="3"/>
      <c r="D81" s="3" t="s">
        <v>259</v>
      </c>
      <c r="E81" s="3">
        <f>(E79-E80)</f>
        <v>1551.2678263157893</v>
      </c>
      <c r="G81" s="3" t="s">
        <v>259</v>
      </c>
      <c r="H81" s="3">
        <f>(H79-H80)</f>
        <v>303.03664000000003</v>
      </c>
      <c r="I81" s="3"/>
      <c r="J81" s="3" t="s">
        <v>259</v>
      </c>
      <c r="K81" s="3">
        <f>(K79-K80)</f>
        <v>966.43595789473716</v>
      </c>
      <c r="M81" s="3" t="s">
        <v>259</v>
      </c>
      <c r="N81" s="3">
        <f>(N79-N80)</f>
        <v>394.97526399999992</v>
      </c>
      <c r="O81" s="3"/>
      <c r="P81" s="3" t="s">
        <v>259</v>
      </c>
      <c r="Q81" s="3">
        <f>(Q79-Q80)</f>
        <v>1415.8609002105266</v>
      </c>
      <c r="S81" s="3" t="s">
        <v>259</v>
      </c>
      <c r="T81" s="3">
        <f>(T79-T80)</f>
        <v>479.94588799999991</v>
      </c>
      <c r="U81" s="3"/>
      <c r="V81" s="3" t="s">
        <v>259</v>
      </c>
      <c r="W81" s="3">
        <f>(W79-W80)</f>
        <v>1856.808180210526</v>
      </c>
    </row>
    <row r="82" spans="1:23" x14ac:dyDescent="0.25">
      <c r="A82" s="3"/>
      <c r="B82" s="3"/>
      <c r="C82" s="3"/>
      <c r="D82" s="3"/>
      <c r="E82" s="3"/>
      <c r="G82" s="3"/>
      <c r="H82" s="3"/>
      <c r="I82" s="3"/>
      <c r="J82" s="3"/>
      <c r="K82" s="3"/>
      <c r="M82" s="3"/>
      <c r="N82" s="3"/>
      <c r="O82" s="3"/>
      <c r="P82" s="3"/>
      <c r="Q82" s="3"/>
      <c r="S82" s="3"/>
      <c r="T82" s="3"/>
      <c r="U82" s="3"/>
      <c r="V82" s="3"/>
      <c r="W82" s="3"/>
    </row>
    <row r="83" spans="1:23" x14ac:dyDescent="0.25">
      <c r="A83" s="3"/>
      <c r="B83" s="3"/>
      <c r="C83" s="3"/>
      <c r="D83" s="3" t="s">
        <v>260</v>
      </c>
      <c r="E83" s="3">
        <f>E81-B81</f>
        <v>1130.1675063157893</v>
      </c>
      <c r="G83" s="3"/>
      <c r="H83" s="3"/>
      <c r="I83" s="3"/>
      <c r="J83" s="3" t="s">
        <v>260</v>
      </c>
      <c r="K83" s="3">
        <f>K81-H81</f>
        <v>663.39931789473712</v>
      </c>
      <c r="M83" s="3"/>
      <c r="N83" s="3"/>
      <c r="O83" s="3"/>
      <c r="P83" s="3" t="s">
        <v>260</v>
      </c>
      <c r="Q83" s="3">
        <f>Q81-N81</f>
        <v>1020.8856362105266</v>
      </c>
      <c r="S83" s="3"/>
      <c r="T83" s="3"/>
      <c r="U83" s="3"/>
      <c r="V83" s="3" t="s">
        <v>260</v>
      </c>
      <c r="W83" s="3">
        <f>W81-T81</f>
        <v>1376.862292210526</v>
      </c>
    </row>
    <row r="86" spans="1:23" ht="18.75" x14ac:dyDescent="0.3">
      <c r="A86" s="95" t="s">
        <v>320</v>
      </c>
      <c r="B86" s="96"/>
      <c r="C86" s="3"/>
      <c r="D86" s="96"/>
      <c r="E86" s="96"/>
      <c r="G86" s="95" t="s">
        <v>321</v>
      </c>
      <c r="H86" s="96"/>
      <c r="I86" s="3"/>
      <c r="J86" s="96"/>
      <c r="K86" s="96"/>
      <c r="M86" s="95" t="s">
        <v>322</v>
      </c>
      <c r="N86" s="96"/>
      <c r="O86" s="3"/>
      <c r="P86" s="96"/>
      <c r="Q86" s="96"/>
      <c r="S86" s="95" t="s">
        <v>323</v>
      </c>
      <c r="T86" s="96"/>
      <c r="U86" s="3"/>
      <c r="V86" s="96"/>
      <c r="W86" s="96"/>
    </row>
    <row r="87" spans="1:23" x14ac:dyDescent="0.25">
      <c r="A87" s="3"/>
      <c r="B87" s="3"/>
      <c r="C87" s="3"/>
      <c r="D87" s="3"/>
      <c r="E87" s="3"/>
      <c r="G87" s="3"/>
      <c r="H87" s="3"/>
      <c r="I87" s="3"/>
      <c r="J87" s="3"/>
      <c r="K87" s="3"/>
      <c r="M87" s="3"/>
      <c r="N87" s="3"/>
      <c r="O87" s="3"/>
      <c r="P87" s="3"/>
      <c r="Q87" s="3"/>
      <c r="S87" s="3"/>
      <c r="T87" s="3"/>
      <c r="U87" s="3"/>
      <c r="V87" s="3"/>
      <c r="W87" s="3"/>
    </row>
    <row r="88" spans="1:23" x14ac:dyDescent="0.25">
      <c r="A88" s="3"/>
      <c r="B88" s="3"/>
      <c r="C88" s="3"/>
      <c r="D88" s="3" t="s">
        <v>249</v>
      </c>
      <c r="E88" s="3">
        <f>B90</f>
        <v>12222.36</v>
      </c>
      <c r="G88" s="3"/>
      <c r="H88" s="3"/>
      <c r="I88" s="3"/>
      <c r="J88" s="3" t="s">
        <v>249</v>
      </c>
      <c r="K88" s="3">
        <f>H90</f>
        <v>8195.36</v>
      </c>
      <c r="M88" s="3"/>
      <c r="N88" s="3"/>
      <c r="O88" s="3"/>
      <c r="P88" s="3" t="s">
        <v>249</v>
      </c>
      <c r="Q88" s="3">
        <f>N90</f>
        <v>5186.1000000000004</v>
      </c>
      <c r="S88" s="3"/>
      <c r="T88" s="3"/>
      <c r="U88" s="3"/>
      <c r="V88" s="3" t="s">
        <v>249</v>
      </c>
      <c r="W88" s="3">
        <f>T90</f>
        <v>7856.5</v>
      </c>
    </row>
    <row r="89" spans="1:23" x14ac:dyDescent="0.25">
      <c r="A89" s="3"/>
      <c r="B89" s="3"/>
      <c r="C89" s="3"/>
      <c r="D89" s="3" t="s">
        <v>250</v>
      </c>
      <c r="E89" s="3">
        <v>17215.965789473688</v>
      </c>
      <c r="G89" s="3"/>
      <c r="H89" s="3"/>
      <c r="I89" s="3"/>
      <c r="J89" s="3" t="s">
        <v>250</v>
      </c>
      <c r="K89" s="3">
        <v>10592.61052631579</v>
      </c>
      <c r="M89" s="3"/>
      <c r="N89" s="3"/>
      <c r="O89" s="3"/>
      <c r="P89" s="3" t="s">
        <v>250</v>
      </c>
      <c r="Q89" s="3">
        <v>5643.1697368421064</v>
      </c>
      <c r="S89" s="3"/>
      <c r="T89" s="3"/>
      <c r="U89" s="3"/>
      <c r="V89" s="3" t="s">
        <v>250</v>
      </c>
      <c r="W89" s="3">
        <v>10035.275</v>
      </c>
    </row>
    <row r="90" spans="1:23" x14ac:dyDescent="0.25">
      <c r="A90" s="3" t="s">
        <v>249</v>
      </c>
      <c r="B90" s="3">
        <f>6111.18*2</f>
        <v>12222.36</v>
      </c>
      <c r="C90" s="3"/>
      <c r="D90" s="3" t="s">
        <v>251</v>
      </c>
      <c r="E90" s="3">
        <f>E88+E89</f>
        <v>29438.325789473689</v>
      </c>
      <c r="G90" s="3" t="s">
        <v>249</v>
      </c>
      <c r="H90" s="3">
        <f>4097.68*2</f>
        <v>8195.36</v>
      </c>
      <c r="I90" s="3"/>
      <c r="J90" s="3" t="s">
        <v>251</v>
      </c>
      <c r="K90" s="3">
        <f>K88+K89</f>
        <v>18787.970526315788</v>
      </c>
      <c r="M90" s="3" t="s">
        <v>249</v>
      </c>
      <c r="N90" s="3">
        <f>2593.05*2</f>
        <v>5186.1000000000004</v>
      </c>
      <c r="O90" s="3"/>
      <c r="P90" s="3" t="s">
        <v>251</v>
      </c>
      <c r="Q90" s="3">
        <f>Q88+Q89</f>
        <v>10829.269736842107</v>
      </c>
      <c r="S90" s="3" t="s">
        <v>249</v>
      </c>
      <c r="T90" s="3">
        <f>3928.25*2</f>
        <v>7856.5</v>
      </c>
      <c r="U90" s="3"/>
      <c r="V90" s="3" t="s">
        <v>251</v>
      </c>
      <c r="W90" s="3">
        <f>W88+W89</f>
        <v>17891.775000000001</v>
      </c>
    </row>
    <row r="91" spans="1:23" x14ac:dyDescent="0.25">
      <c r="A91" s="3" t="s">
        <v>252</v>
      </c>
      <c r="B91" s="3">
        <v>11176.63</v>
      </c>
      <c r="C91" s="3"/>
      <c r="D91" s="3" t="s">
        <v>252</v>
      </c>
      <c r="E91" s="3">
        <v>26988.51</v>
      </c>
      <c r="G91" s="3" t="s">
        <v>252</v>
      </c>
      <c r="H91" s="3">
        <v>5470.93</v>
      </c>
      <c r="I91" s="3"/>
      <c r="J91" s="3" t="s">
        <v>252</v>
      </c>
      <c r="K91" s="3">
        <v>13381.48</v>
      </c>
      <c r="M91" s="3" t="s">
        <v>252</v>
      </c>
      <c r="N91" s="3">
        <v>644.59</v>
      </c>
      <c r="O91" s="3"/>
      <c r="P91" s="3" t="s">
        <v>252</v>
      </c>
      <c r="Q91" s="3">
        <v>9614.67</v>
      </c>
      <c r="S91" s="3" t="s">
        <v>252</v>
      </c>
      <c r="T91" s="3">
        <v>5470.93</v>
      </c>
      <c r="U91" s="3"/>
      <c r="V91" s="3" t="s">
        <v>252</v>
      </c>
      <c r="W91" s="3">
        <v>13381.48</v>
      </c>
    </row>
    <row r="92" spans="1:23" x14ac:dyDescent="0.25">
      <c r="A92" s="3" t="s">
        <v>253</v>
      </c>
      <c r="B92" s="3">
        <f>B90-B91</f>
        <v>1045.7300000000014</v>
      </c>
      <c r="C92" s="3"/>
      <c r="D92" s="3" t="s">
        <v>253</v>
      </c>
      <c r="E92" s="3">
        <f>(E90-E91)</f>
        <v>2449.8157894736905</v>
      </c>
      <c r="G92" s="3" t="s">
        <v>253</v>
      </c>
      <c r="H92" s="3">
        <f>H90-H91</f>
        <v>2724.4300000000003</v>
      </c>
      <c r="I92" s="3"/>
      <c r="J92" s="3" t="s">
        <v>253</v>
      </c>
      <c r="K92" s="3">
        <f>(K90-K91)</f>
        <v>5406.4905263157889</v>
      </c>
      <c r="M92" s="3" t="s">
        <v>253</v>
      </c>
      <c r="N92" s="3">
        <f>N90-N91</f>
        <v>4541.51</v>
      </c>
      <c r="O92" s="3"/>
      <c r="P92" s="3" t="s">
        <v>253</v>
      </c>
      <c r="Q92" s="3">
        <f>(Q90-Q91)</f>
        <v>1214.5997368421067</v>
      </c>
      <c r="S92" s="3" t="s">
        <v>253</v>
      </c>
      <c r="T92" s="3">
        <f>T90-T91</f>
        <v>2385.5699999999997</v>
      </c>
      <c r="U92" s="3"/>
      <c r="V92" s="3" t="s">
        <v>253</v>
      </c>
      <c r="W92" s="3">
        <f>(W90-W91)</f>
        <v>4510.2950000000019</v>
      </c>
    </row>
    <row r="93" spans="1:23" x14ac:dyDescent="0.25">
      <c r="A93" s="3" t="s">
        <v>254</v>
      </c>
      <c r="B93" s="5">
        <v>0.1792</v>
      </c>
      <c r="C93" s="3"/>
      <c r="D93" s="3" t="s">
        <v>254</v>
      </c>
      <c r="E93" s="5">
        <v>0.23519999999999999</v>
      </c>
      <c r="G93" s="3" t="s">
        <v>254</v>
      </c>
      <c r="H93" s="5">
        <v>0.10879999999999999</v>
      </c>
      <c r="I93" s="3"/>
      <c r="J93" s="3" t="s">
        <v>254</v>
      </c>
      <c r="K93" s="5">
        <v>0.21360000000000001</v>
      </c>
      <c r="M93" s="3" t="s">
        <v>254</v>
      </c>
      <c r="N93" s="5">
        <v>6.4000000000000001E-2</v>
      </c>
      <c r="O93" s="3"/>
      <c r="P93" s="3" t="s">
        <v>254</v>
      </c>
      <c r="Q93" s="5">
        <v>0.16</v>
      </c>
      <c r="S93" s="3" t="s">
        <v>254</v>
      </c>
      <c r="T93" s="5">
        <v>0.10879999999999999</v>
      </c>
      <c r="U93" s="3"/>
      <c r="V93" s="3" t="s">
        <v>254</v>
      </c>
      <c r="W93" s="5">
        <v>0.21360000000000001</v>
      </c>
    </row>
    <row r="94" spans="1:23" x14ac:dyDescent="0.25">
      <c r="A94" s="3" t="s">
        <v>255</v>
      </c>
      <c r="B94" s="3">
        <f>B92*B93</f>
        <v>187.39481600000025</v>
      </c>
      <c r="C94" s="3"/>
      <c r="D94" s="3" t="s">
        <v>255</v>
      </c>
      <c r="E94" s="3">
        <f>(E92*E93)</f>
        <v>576.19667368421199</v>
      </c>
      <c r="G94" s="3" t="s">
        <v>255</v>
      </c>
      <c r="H94" s="3">
        <f>H92*H93</f>
        <v>296.41798399999999</v>
      </c>
      <c r="I94" s="3"/>
      <c r="J94" s="3" t="s">
        <v>255</v>
      </c>
      <c r="K94" s="3">
        <f>(K92*K93)</f>
        <v>1154.8263764210526</v>
      </c>
      <c r="M94" s="3" t="s">
        <v>255</v>
      </c>
      <c r="N94" s="3">
        <f>N92*N93</f>
        <v>290.65664000000004</v>
      </c>
      <c r="O94" s="3"/>
      <c r="P94" s="3" t="s">
        <v>255</v>
      </c>
      <c r="Q94" s="3">
        <f>(Q92*Q93)</f>
        <v>194.33595789473708</v>
      </c>
      <c r="S94" s="3" t="s">
        <v>255</v>
      </c>
      <c r="T94" s="3">
        <f>T92*T93</f>
        <v>259.55001599999997</v>
      </c>
      <c r="U94" s="3"/>
      <c r="V94" s="3" t="s">
        <v>255</v>
      </c>
      <c r="W94" s="3">
        <f>(W92*W93)</f>
        <v>963.39901200000043</v>
      </c>
    </row>
    <row r="95" spans="1:23" x14ac:dyDescent="0.25">
      <c r="A95" s="3" t="s">
        <v>256</v>
      </c>
      <c r="B95" s="3">
        <v>1022.01</v>
      </c>
      <c r="C95" s="3"/>
      <c r="D95" s="3" t="s">
        <v>256</v>
      </c>
      <c r="E95" s="3">
        <v>4323.58</v>
      </c>
      <c r="G95" s="3" t="s">
        <v>256</v>
      </c>
      <c r="H95" s="3">
        <v>321.26</v>
      </c>
      <c r="I95" s="3"/>
      <c r="J95" s="3" t="s">
        <v>256</v>
      </c>
      <c r="K95" s="3">
        <v>1417.12</v>
      </c>
      <c r="M95" s="3" t="s">
        <v>256</v>
      </c>
      <c r="N95" s="3">
        <v>12.38</v>
      </c>
      <c r="O95" s="3"/>
      <c r="P95" s="3" t="s">
        <v>256</v>
      </c>
      <c r="Q95" s="3">
        <v>772.1</v>
      </c>
      <c r="S95" s="3" t="s">
        <v>256</v>
      </c>
      <c r="T95" s="3">
        <v>321.26</v>
      </c>
      <c r="U95" s="3"/>
      <c r="V95" s="3" t="s">
        <v>256</v>
      </c>
      <c r="W95" s="3">
        <v>1417.12</v>
      </c>
    </row>
    <row r="96" spans="1:23" x14ac:dyDescent="0.25">
      <c r="A96" s="3" t="s">
        <v>257</v>
      </c>
      <c r="B96" s="3">
        <f>B94+B95</f>
        <v>1209.4048160000002</v>
      </c>
      <c r="C96" s="3"/>
      <c r="D96" s="3" t="s">
        <v>257</v>
      </c>
      <c r="E96" s="3">
        <f>(E94+E95)</f>
        <v>4899.7766736842123</v>
      </c>
      <c r="G96" s="3" t="s">
        <v>257</v>
      </c>
      <c r="H96" s="3">
        <f>H94+H95</f>
        <v>617.67798399999992</v>
      </c>
      <c r="I96" s="3"/>
      <c r="J96" s="3" t="s">
        <v>257</v>
      </c>
      <c r="K96" s="3">
        <f>(K94+K95)</f>
        <v>2571.9463764210523</v>
      </c>
      <c r="M96" s="3" t="s">
        <v>257</v>
      </c>
      <c r="N96" s="3">
        <f>N94+N95</f>
        <v>303.03664000000003</v>
      </c>
      <c r="O96" s="3"/>
      <c r="P96" s="3" t="s">
        <v>257</v>
      </c>
      <c r="Q96" s="3">
        <f>(Q94+Q95)</f>
        <v>966.43595789473716</v>
      </c>
      <c r="S96" s="3" t="s">
        <v>257</v>
      </c>
      <c r="T96" s="3">
        <f>T94+T95</f>
        <v>580.81001599999991</v>
      </c>
      <c r="U96" s="3"/>
      <c r="V96" s="3" t="s">
        <v>257</v>
      </c>
      <c r="W96" s="3">
        <f>(W94+W95)</f>
        <v>2380.5190120000002</v>
      </c>
    </row>
    <row r="97" spans="1:23" x14ac:dyDescent="0.25">
      <c r="A97" s="3" t="s">
        <v>258</v>
      </c>
      <c r="B97" s="3"/>
      <c r="C97" s="3"/>
      <c r="D97" s="3" t="s">
        <v>258</v>
      </c>
      <c r="E97" s="3"/>
      <c r="G97" s="3" t="s">
        <v>258</v>
      </c>
      <c r="H97" s="3"/>
      <c r="I97" s="3"/>
      <c r="J97" s="3" t="s">
        <v>258</v>
      </c>
      <c r="K97" s="3"/>
      <c r="M97" s="3" t="s">
        <v>258</v>
      </c>
      <c r="N97" s="3"/>
      <c r="O97" s="3"/>
      <c r="P97" s="3" t="s">
        <v>258</v>
      </c>
      <c r="Q97" s="3"/>
      <c r="S97" s="3" t="s">
        <v>258</v>
      </c>
      <c r="T97" s="3"/>
      <c r="U97" s="3"/>
      <c r="V97" s="3" t="s">
        <v>258</v>
      </c>
      <c r="W97" s="3"/>
    </row>
    <row r="98" spans="1:23" x14ac:dyDescent="0.25">
      <c r="A98" s="3" t="s">
        <v>259</v>
      </c>
      <c r="B98" s="3">
        <f>(B96-B97)</f>
        <v>1209.4048160000002</v>
      </c>
      <c r="C98" s="3"/>
      <c r="D98" s="3" t="s">
        <v>259</v>
      </c>
      <c r="E98" s="3">
        <f>(E96-E97)</f>
        <v>4899.7766736842123</v>
      </c>
      <c r="G98" s="3" t="s">
        <v>259</v>
      </c>
      <c r="H98" s="3">
        <f>(H96-H97)</f>
        <v>617.67798399999992</v>
      </c>
      <c r="I98" s="3"/>
      <c r="J98" s="3" t="s">
        <v>259</v>
      </c>
      <c r="K98" s="3">
        <f>(K96-K97)</f>
        <v>2571.9463764210523</v>
      </c>
      <c r="M98" s="3" t="s">
        <v>259</v>
      </c>
      <c r="N98" s="3">
        <f>(N96-N97)</f>
        <v>303.03664000000003</v>
      </c>
      <c r="O98" s="3"/>
      <c r="P98" s="3" t="s">
        <v>259</v>
      </c>
      <c r="Q98" s="3">
        <f>(Q96-Q97)</f>
        <v>966.43595789473716</v>
      </c>
      <c r="S98" s="3" t="s">
        <v>259</v>
      </c>
      <c r="T98" s="3">
        <f>(T96-T97)</f>
        <v>580.81001599999991</v>
      </c>
      <c r="U98" s="3"/>
      <c r="V98" s="3" t="s">
        <v>259</v>
      </c>
      <c r="W98" s="3">
        <f>(W96-W97)</f>
        <v>2380.5190120000002</v>
      </c>
    </row>
    <row r="99" spans="1:23" x14ac:dyDescent="0.25">
      <c r="A99" s="3"/>
      <c r="B99" s="3"/>
      <c r="C99" s="3"/>
      <c r="D99" s="3"/>
      <c r="E99" s="3"/>
      <c r="G99" s="3"/>
      <c r="H99" s="3"/>
      <c r="I99" s="3"/>
      <c r="J99" s="3"/>
      <c r="K99" s="3"/>
      <c r="M99" s="3"/>
      <c r="N99" s="3"/>
      <c r="O99" s="3"/>
      <c r="P99" s="3"/>
      <c r="Q99" s="3"/>
      <c r="S99" s="3"/>
      <c r="T99" s="3"/>
      <c r="U99" s="3"/>
      <c r="V99" s="3"/>
      <c r="W99" s="3"/>
    </row>
    <row r="100" spans="1:23" x14ac:dyDescent="0.25">
      <c r="A100" s="3"/>
      <c r="B100" s="3"/>
      <c r="C100" s="3"/>
      <c r="D100" s="3" t="s">
        <v>260</v>
      </c>
      <c r="E100" s="3">
        <f>E98-B98</f>
        <v>3690.371857684212</v>
      </c>
      <c r="G100" s="3"/>
      <c r="H100" s="3"/>
      <c r="I100" s="3"/>
      <c r="J100" s="3" t="s">
        <v>260</v>
      </c>
      <c r="K100" s="3">
        <f>K98-H98</f>
        <v>1954.2683924210523</v>
      </c>
      <c r="M100" s="3"/>
      <c r="N100" s="3"/>
      <c r="O100" s="3"/>
      <c r="P100" s="3" t="s">
        <v>260</v>
      </c>
      <c r="Q100" s="3">
        <f>Q98-N98</f>
        <v>663.39931789473712</v>
      </c>
      <c r="S100" s="3"/>
      <c r="T100" s="3"/>
      <c r="U100" s="3"/>
      <c r="V100" s="3" t="s">
        <v>260</v>
      </c>
      <c r="W100" s="3">
        <f>W98-T98</f>
        <v>1799.7089960000003</v>
      </c>
    </row>
    <row r="103" spans="1:23" ht="18.75" x14ac:dyDescent="0.3">
      <c r="A103" s="95" t="s">
        <v>324</v>
      </c>
      <c r="B103" s="96"/>
      <c r="C103" s="3"/>
      <c r="D103" s="96"/>
      <c r="E103" s="96"/>
      <c r="G103" s="95" t="s">
        <v>325</v>
      </c>
      <c r="H103" s="96"/>
      <c r="I103" s="3"/>
      <c r="J103" s="96"/>
      <c r="K103" s="96"/>
      <c r="M103" s="95" t="s">
        <v>326</v>
      </c>
      <c r="N103" s="96"/>
      <c r="O103" s="3"/>
      <c r="P103" s="96"/>
      <c r="Q103" s="96"/>
      <c r="S103" s="95" t="s">
        <v>327</v>
      </c>
      <c r="T103" s="96"/>
      <c r="U103" s="3"/>
      <c r="V103" s="96"/>
      <c r="W103" s="96"/>
    </row>
    <row r="104" spans="1:23" x14ac:dyDescent="0.25">
      <c r="A104" s="3"/>
      <c r="B104" s="3"/>
      <c r="C104" s="3"/>
      <c r="D104" s="3"/>
      <c r="E104" s="3"/>
      <c r="G104" s="3"/>
      <c r="H104" s="3"/>
      <c r="I104" s="3"/>
      <c r="J104" s="3"/>
      <c r="K104" s="3"/>
      <c r="M104" s="3"/>
      <c r="N104" s="3"/>
      <c r="O104" s="3"/>
      <c r="P104" s="3"/>
      <c r="Q104" s="3"/>
      <c r="S104" s="3"/>
      <c r="T104" s="3"/>
      <c r="U104" s="3"/>
      <c r="V104" s="3"/>
      <c r="W104" s="3"/>
    </row>
    <row r="105" spans="1:23" x14ac:dyDescent="0.25">
      <c r="A105" s="3"/>
      <c r="B105" s="3"/>
      <c r="C105" s="3"/>
      <c r="D105" s="3" t="s">
        <v>249</v>
      </c>
      <c r="E105" s="3">
        <f>B107</f>
        <v>9814.16</v>
      </c>
      <c r="G105" s="3"/>
      <c r="H105" s="3"/>
      <c r="I105" s="3"/>
      <c r="J105" s="3" t="s">
        <v>249</v>
      </c>
      <c r="K105" s="3">
        <f>H107</f>
        <v>8695.82</v>
      </c>
      <c r="M105" s="3"/>
      <c r="N105" s="3"/>
      <c r="O105" s="3"/>
      <c r="P105" s="3" t="s">
        <v>249</v>
      </c>
      <c r="Q105" s="3">
        <f>N107</f>
        <v>8695.82</v>
      </c>
      <c r="S105" s="3"/>
      <c r="T105" s="3"/>
      <c r="U105" s="3"/>
      <c r="V105" s="3" t="s">
        <v>249</v>
      </c>
      <c r="W105" s="3">
        <f>T107</f>
        <v>8350.2199999999993</v>
      </c>
    </row>
    <row r="106" spans="1:23" x14ac:dyDescent="0.25">
      <c r="A106" s="3"/>
      <c r="B106" s="3"/>
      <c r="C106" s="3"/>
      <c r="D106" s="3" t="s">
        <v>250</v>
      </c>
      <c r="E106" s="3">
        <v>11875.126416726749</v>
      </c>
      <c r="G106" s="3"/>
      <c r="H106" s="3"/>
      <c r="I106" s="3"/>
      <c r="J106" s="3" t="s">
        <v>250</v>
      </c>
      <c r="K106" s="3">
        <v>11415.73552631579</v>
      </c>
      <c r="M106" s="3"/>
      <c r="N106" s="3"/>
      <c r="O106" s="3"/>
      <c r="P106" s="3" t="s">
        <v>250</v>
      </c>
      <c r="Q106" s="3">
        <v>11415.73552631579</v>
      </c>
      <c r="S106" s="3"/>
      <c r="T106" s="3"/>
      <c r="U106" s="3"/>
      <c r="V106" s="3" t="s">
        <v>250</v>
      </c>
      <c r="W106" s="3">
        <v>10847.314473684208</v>
      </c>
    </row>
    <row r="107" spans="1:23" x14ac:dyDescent="0.25">
      <c r="A107" s="3" t="s">
        <v>249</v>
      </c>
      <c r="B107" s="3">
        <f>4907.08*2</f>
        <v>9814.16</v>
      </c>
      <c r="C107" s="3"/>
      <c r="D107" s="3" t="s">
        <v>251</v>
      </c>
      <c r="E107" s="3">
        <f>E105+E106</f>
        <v>21689.286416726747</v>
      </c>
      <c r="G107" s="3" t="s">
        <v>249</v>
      </c>
      <c r="H107" s="3">
        <f>4347.91*2</f>
        <v>8695.82</v>
      </c>
      <c r="I107" s="3"/>
      <c r="J107" s="3" t="s">
        <v>251</v>
      </c>
      <c r="K107" s="3">
        <f>K105+K106</f>
        <v>20111.555526315788</v>
      </c>
      <c r="M107" s="3" t="s">
        <v>249</v>
      </c>
      <c r="N107" s="3">
        <f>4347.91*2</f>
        <v>8695.82</v>
      </c>
      <c r="O107" s="3"/>
      <c r="P107" s="3" t="s">
        <v>251</v>
      </c>
      <c r="Q107" s="3">
        <f>Q105+Q106</f>
        <v>20111.555526315788</v>
      </c>
      <c r="S107" s="3" t="s">
        <v>249</v>
      </c>
      <c r="T107" s="3">
        <f>4175.11*2</f>
        <v>8350.2199999999993</v>
      </c>
      <c r="U107" s="3"/>
      <c r="V107" s="3" t="s">
        <v>251</v>
      </c>
      <c r="W107" s="3">
        <f>W105+W106</f>
        <v>19197.534473684209</v>
      </c>
    </row>
    <row r="108" spans="1:23" x14ac:dyDescent="0.25">
      <c r="A108" s="3" t="s">
        <v>252</v>
      </c>
      <c r="B108" s="3">
        <v>9614.67</v>
      </c>
      <c r="C108" s="3"/>
      <c r="D108" s="3" t="s">
        <v>252</v>
      </c>
      <c r="E108" s="3">
        <v>13381.48</v>
      </c>
      <c r="G108" s="3" t="s">
        <v>252</v>
      </c>
      <c r="H108" s="3">
        <v>5470.93</v>
      </c>
      <c r="I108" s="3"/>
      <c r="J108" s="3" t="s">
        <v>252</v>
      </c>
      <c r="K108" s="3">
        <v>13381.48</v>
      </c>
      <c r="M108" s="3" t="s">
        <v>252</v>
      </c>
      <c r="N108" s="3">
        <v>5470.93</v>
      </c>
      <c r="O108" s="3"/>
      <c r="P108" s="3" t="s">
        <v>252</v>
      </c>
      <c r="Q108" s="3">
        <v>13381.48</v>
      </c>
      <c r="S108" s="3" t="s">
        <v>252</v>
      </c>
      <c r="T108" s="3">
        <v>5470.93</v>
      </c>
      <c r="U108" s="3"/>
      <c r="V108" s="3" t="s">
        <v>252</v>
      </c>
      <c r="W108" s="3">
        <v>13381.48</v>
      </c>
    </row>
    <row r="109" spans="1:23" x14ac:dyDescent="0.25">
      <c r="A109" s="3" t="s">
        <v>253</v>
      </c>
      <c r="B109" s="3">
        <f>B107-B108</f>
        <v>199.48999999999978</v>
      </c>
      <c r="C109" s="3"/>
      <c r="D109" s="3" t="s">
        <v>253</v>
      </c>
      <c r="E109" s="3">
        <f>(E107-E108)</f>
        <v>8307.8064167267476</v>
      </c>
      <c r="G109" s="3" t="s">
        <v>253</v>
      </c>
      <c r="H109" s="3">
        <f>H107-H108</f>
        <v>3224.8899999999994</v>
      </c>
      <c r="I109" s="3"/>
      <c r="J109" s="3" t="s">
        <v>253</v>
      </c>
      <c r="K109" s="3">
        <f>(K107-K108)</f>
        <v>6730.075526315788</v>
      </c>
      <c r="M109" s="3" t="s">
        <v>253</v>
      </c>
      <c r="N109" s="3">
        <f>N107-N108</f>
        <v>3224.8899999999994</v>
      </c>
      <c r="O109" s="3"/>
      <c r="P109" s="3" t="s">
        <v>253</v>
      </c>
      <c r="Q109" s="3">
        <f>(Q107-Q108)</f>
        <v>6730.075526315788</v>
      </c>
      <c r="S109" s="3" t="s">
        <v>253</v>
      </c>
      <c r="T109" s="3">
        <f>T107-T108</f>
        <v>2879.2899999999991</v>
      </c>
      <c r="U109" s="3"/>
      <c r="V109" s="3" t="s">
        <v>253</v>
      </c>
      <c r="W109" s="3">
        <f>(W107-W108)</f>
        <v>5816.0544736842094</v>
      </c>
    </row>
    <row r="110" spans="1:23" x14ac:dyDescent="0.25">
      <c r="A110" s="3" t="s">
        <v>254</v>
      </c>
      <c r="B110" s="5">
        <v>0.16</v>
      </c>
      <c r="C110" s="3"/>
      <c r="D110" s="3" t="s">
        <v>254</v>
      </c>
      <c r="E110" s="5">
        <v>0.21360000000000001</v>
      </c>
      <c r="G110" s="3" t="s">
        <v>254</v>
      </c>
      <c r="H110" s="5">
        <v>0.10879999999999999</v>
      </c>
      <c r="I110" s="3"/>
      <c r="J110" s="3" t="s">
        <v>254</v>
      </c>
      <c r="K110" s="5">
        <v>0.21360000000000001</v>
      </c>
      <c r="M110" s="3" t="s">
        <v>254</v>
      </c>
      <c r="N110" s="5">
        <v>0.10879999999999999</v>
      </c>
      <c r="O110" s="3"/>
      <c r="P110" s="3" t="s">
        <v>254</v>
      </c>
      <c r="Q110" s="5">
        <v>0.21360000000000001</v>
      </c>
      <c r="S110" s="3" t="s">
        <v>254</v>
      </c>
      <c r="T110" s="5">
        <v>0.10879999999999999</v>
      </c>
      <c r="U110" s="3"/>
      <c r="V110" s="3" t="s">
        <v>254</v>
      </c>
      <c r="W110" s="5">
        <v>0.21360000000000001</v>
      </c>
    </row>
    <row r="111" spans="1:23" x14ac:dyDescent="0.25">
      <c r="A111" s="3" t="s">
        <v>255</v>
      </c>
      <c r="B111" s="3">
        <f>B109*B110</f>
        <v>31.918399999999966</v>
      </c>
      <c r="C111" s="3"/>
      <c r="D111" s="3" t="s">
        <v>255</v>
      </c>
      <c r="E111" s="3">
        <f>(E109*E110)</f>
        <v>1774.5474506128335</v>
      </c>
      <c r="G111" s="3" t="s">
        <v>255</v>
      </c>
      <c r="H111" s="3">
        <f>H109*H110</f>
        <v>350.86803199999991</v>
      </c>
      <c r="I111" s="3"/>
      <c r="J111" s="3" t="s">
        <v>255</v>
      </c>
      <c r="K111" s="3">
        <f>(K109*K110)</f>
        <v>1437.5441324210524</v>
      </c>
      <c r="M111" s="3" t="s">
        <v>255</v>
      </c>
      <c r="N111" s="3">
        <f>N109*N110</f>
        <v>350.86803199999991</v>
      </c>
      <c r="O111" s="3"/>
      <c r="P111" s="3" t="s">
        <v>255</v>
      </c>
      <c r="Q111" s="3">
        <f>(Q109*Q110)</f>
        <v>1437.5441324210524</v>
      </c>
      <c r="S111" s="3" t="s">
        <v>255</v>
      </c>
      <c r="T111" s="3">
        <f>T109*T110</f>
        <v>313.26675199999988</v>
      </c>
      <c r="U111" s="3"/>
      <c r="V111" s="3" t="s">
        <v>255</v>
      </c>
      <c r="W111" s="3">
        <f>(W109*W110)</f>
        <v>1242.3092355789472</v>
      </c>
    </row>
    <row r="112" spans="1:23" x14ac:dyDescent="0.25">
      <c r="A112" s="3" t="s">
        <v>256</v>
      </c>
      <c r="B112" s="3">
        <v>772.1</v>
      </c>
      <c r="C112" s="3"/>
      <c r="D112" s="3" t="s">
        <v>256</v>
      </c>
      <c r="E112" s="3">
        <v>1417.12</v>
      </c>
      <c r="G112" s="3" t="s">
        <v>256</v>
      </c>
      <c r="H112" s="3">
        <v>321.26</v>
      </c>
      <c r="I112" s="3"/>
      <c r="J112" s="3" t="s">
        <v>256</v>
      </c>
      <c r="K112" s="3">
        <v>1417.12</v>
      </c>
      <c r="M112" s="3" t="s">
        <v>256</v>
      </c>
      <c r="N112" s="3">
        <v>321.26</v>
      </c>
      <c r="O112" s="3"/>
      <c r="P112" s="3" t="s">
        <v>256</v>
      </c>
      <c r="Q112" s="3">
        <v>1417.12</v>
      </c>
      <c r="S112" s="3" t="s">
        <v>256</v>
      </c>
      <c r="T112" s="3">
        <v>321.26</v>
      </c>
      <c r="U112" s="3"/>
      <c r="V112" s="3" t="s">
        <v>256</v>
      </c>
      <c r="W112" s="3">
        <v>1417.12</v>
      </c>
    </row>
    <row r="113" spans="1:23" x14ac:dyDescent="0.25">
      <c r="A113" s="3" t="s">
        <v>257</v>
      </c>
      <c r="B113" s="3">
        <f>B111+B112</f>
        <v>804.01840000000004</v>
      </c>
      <c r="C113" s="3"/>
      <c r="D113" s="3" t="s">
        <v>257</v>
      </c>
      <c r="E113" s="3">
        <f>(E111+E112)</f>
        <v>3191.6674506128334</v>
      </c>
      <c r="G113" s="3" t="s">
        <v>257</v>
      </c>
      <c r="H113" s="3">
        <f>H111+H112</f>
        <v>672.12803199999985</v>
      </c>
      <c r="I113" s="3"/>
      <c r="J113" s="3" t="s">
        <v>257</v>
      </c>
      <c r="K113" s="3">
        <f>(K111+K112)</f>
        <v>2854.6641324210523</v>
      </c>
      <c r="M113" s="3" t="s">
        <v>257</v>
      </c>
      <c r="N113" s="3">
        <f>N111+N112</f>
        <v>672.12803199999985</v>
      </c>
      <c r="O113" s="3"/>
      <c r="P113" s="3" t="s">
        <v>257</v>
      </c>
      <c r="Q113" s="3">
        <f>(Q111+Q112)</f>
        <v>2854.6641324210523</v>
      </c>
      <c r="S113" s="3" t="s">
        <v>257</v>
      </c>
      <c r="T113" s="3">
        <f>T111+T112</f>
        <v>634.52675199999987</v>
      </c>
      <c r="U113" s="3"/>
      <c r="V113" s="3" t="s">
        <v>257</v>
      </c>
      <c r="W113" s="3">
        <f>(W111+W112)</f>
        <v>2659.4292355789471</v>
      </c>
    </row>
    <row r="114" spans="1:23" x14ac:dyDescent="0.25">
      <c r="A114" s="3" t="s">
        <v>258</v>
      </c>
      <c r="B114" s="3"/>
      <c r="C114" s="3"/>
      <c r="D114" s="3" t="s">
        <v>258</v>
      </c>
      <c r="E114" s="3"/>
      <c r="G114" s="3" t="s">
        <v>258</v>
      </c>
      <c r="H114" s="3"/>
      <c r="I114" s="3"/>
      <c r="J114" s="3" t="s">
        <v>258</v>
      </c>
      <c r="K114" s="3"/>
      <c r="M114" s="3" t="s">
        <v>258</v>
      </c>
      <c r="N114" s="3"/>
      <c r="O114" s="3"/>
      <c r="P114" s="3" t="s">
        <v>258</v>
      </c>
      <c r="Q114" s="3"/>
      <c r="S114" s="3" t="s">
        <v>258</v>
      </c>
      <c r="T114" s="3"/>
      <c r="U114" s="3"/>
      <c r="V114" s="3" t="s">
        <v>258</v>
      </c>
      <c r="W114" s="3"/>
    </row>
    <row r="115" spans="1:23" x14ac:dyDescent="0.25">
      <c r="A115" s="3" t="s">
        <v>259</v>
      </c>
      <c r="B115" s="3">
        <f>(B113-B114)</f>
        <v>804.01840000000004</v>
      </c>
      <c r="C115" s="3"/>
      <c r="D115" s="3" t="s">
        <v>259</v>
      </c>
      <c r="E115" s="3">
        <f>(E113-E114)</f>
        <v>3191.6674506128334</v>
      </c>
      <c r="G115" s="3" t="s">
        <v>259</v>
      </c>
      <c r="H115" s="3">
        <f>(H113-H114)</f>
        <v>672.12803199999985</v>
      </c>
      <c r="I115" s="3"/>
      <c r="J115" s="3" t="s">
        <v>259</v>
      </c>
      <c r="K115" s="3">
        <f>(K113-K114)</f>
        <v>2854.6641324210523</v>
      </c>
      <c r="M115" s="3" t="s">
        <v>259</v>
      </c>
      <c r="N115" s="3">
        <f>(N113-N114)</f>
        <v>672.12803199999985</v>
      </c>
      <c r="O115" s="3"/>
      <c r="P115" s="3" t="s">
        <v>259</v>
      </c>
      <c r="Q115" s="3">
        <f>(Q113-Q114)</f>
        <v>2854.6641324210523</v>
      </c>
      <c r="S115" s="3" t="s">
        <v>259</v>
      </c>
      <c r="T115" s="3">
        <f>(T113-T114)</f>
        <v>634.52675199999987</v>
      </c>
      <c r="U115" s="3"/>
      <c r="V115" s="3" t="s">
        <v>259</v>
      </c>
      <c r="W115" s="3">
        <f>(W113-W114)</f>
        <v>2659.4292355789471</v>
      </c>
    </row>
    <row r="116" spans="1:23" x14ac:dyDescent="0.25">
      <c r="A116" s="3"/>
      <c r="B116" s="3"/>
      <c r="C116" s="3"/>
      <c r="D116" s="3"/>
      <c r="E116" s="3"/>
      <c r="G116" s="3"/>
      <c r="H116" s="3"/>
      <c r="I116" s="3"/>
      <c r="J116" s="3"/>
      <c r="K116" s="3"/>
      <c r="M116" s="3"/>
      <c r="N116" s="3"/>
      <c r="O116" s="3"/>
      <c r="P116" s="3"/>
      <c r="Q116" s="3"/>
      <c r="S116" s="3"/>
      <c r="T116" s="3"/>
      <c r="U116" s="3"/>
      <c r="V116" s="3"/>
      <c r="W116" s="3"/>
    </row>
    <row r="117" spans="1:23" x14ac:dyDescent="0.25">
      <c r="A117" s="3"/>
      <c r="B117" s="3"/>
      <c r="C117" s="3"/>
      <c r="D117" s="3" t="s">
        <v>260</v>
      </c>
      <c r="E117" s="3">
        <f>E115-B115</f>
        <v>2387.6490506128334</v>
      </c>
      <c r="G117" s="3"/>
      <c r="H117" s="3"/>
      <c r="I117" s="3"/>
      <c r="J117" s="3" t="s">
        <v>260</v>
      </c>
      <c r="K117" s="3">
        <f>K115-H115</f>
        <v>2182.5361004210527</v>
      </c>
      <c r="M117" s="3"/>
      <c r="N117" s="3"/>
      <c r="O117" s="3"/>
      <c r="P117" s="3" t="s">
        <v>260</v>
      </c>
      <c r="Q117" s="3">
        <f>Q115-N115</f>
        <v>2182.5361004210527</v>
      </c>
      <c r="S117" s="3"/>
      <c r="T117" s="3"/>
      <c r="U117" s="3"/>
      <c r="V117" s="3" t="s">
        <v>260</v>
      </c>
      <c r="W117" s="3">
        <f>W115-T115</f>
        <v>2024.9024835789473</v>
      </c>
    </row>
    <row r="120" spans="1:23" ht="18.75" x14ac:dyDescent="0.3">
      <c r="A120" s="95" t="s">
        <v>328</v>
      </c>
      <c r="B120" s="96"/>
      <c r="C120" s="3"/>
      <c r="D120" s="96"/>
      <c r="E120" s="96"/>
      <c r="G120" s="95" t="s">
        <v>329</v>
      </c>
      <c r="H120" s="96"/>
      <c r="I120" s="3"/>
      <c r="J120" s="96"/>
      <c r="K120" s="96"/>
      <c r="M120" s="95" t="s">
        <v>330</v>
      </c>
      <c r="N120" s="96"/>
      <c r="O120" s="3"/>
      <c r="P120" s="96"/>
      <c r="Q120" s="96"/>
      <c r="S120" s="95" t="s">
        <v>331</v>
      </c>
      <c r="T120" s="96"/>
      <c r="U120" s="3"/>
      <c r="V120" s="96"/>
      <c r="W120" s="96"/>
    </row>
    <row r="121" spans="1:23" x14ac:dyDescent="0.25">
      <c r="A121" s="3"/>
      <c r="B121" s="3"/>
      <c r="C121" s="3"/>
      <c r="D121" s="3"/>
      <c r="E121" s="3"/>
      <c r="G121" s="3"/>
      <c r="H121" s="3"/>
      <c r="I121" s="3"/>
      <c r="J121" s="3"/>
      <c r="K121" s="3"/>
      <c r="M121" s="3"/>
      <c r="N121" s="3"/>
      <c r="O121" s="3"/>
      <c r="P121" s="3"/>
      <c r="Q121" s="3"/>
      <c r="S121" s="3"/>
      <c r="T121" s="3"/>
      <c r="U121" s="3"/>
      <c r="V121" s="3"/>
      <c r="W121" s="3"/>
    </row>
    <row r="122" spans="1:23" x14ac:dyDescent="0.25">
      <c r="A122" s="3"/>
      <c r="B122" s="3"/>
      <c r="C122" s="3"/>
      <c r="D122" s="3" t="s">
        <v>249</v>
      </c>
      <c r="E122" s="3">
        <f>B124</f>
        <v>8350.2199999999993</v>
      </c>
      <c r="G122" s="3"/>
      <c r="H122" s="3"/>
      <c r="I122" s="3"/>
      <c r="J122" s="3" t="s">
        <v>249</v>
      </c>
      <c r="K122" s="3">
        <f>H124</f>
        <v>8350.2199999999993</v>
      </c>
      <c r="M122" s="3"/>
      <c r="N122" s="3"/>
      <c r="O122" s="3"/>
      <c r="P122" s="3" t="s">
        <v>249</v>
      </c>
      <c r="Q122" s="3">
        <f>N124</f>
        <v>8350.2199999999993</v>
      </c>
      <c r="S122" s="3"/>
      <c r="T122" s="3"/>
      <c r="U122" s="3"/>
      <c r="V122" s="3" t="s">
        <v>249</v>
      </c>
      <c r="W122" s="3">
        <f>T124</f>
        <v>6350.44</v>
      </c>
    </row>
    <row r="123" spans="1:23" x14ac:dyDescent="0.25">
      <c r="A123" s="3"/>
      <c r="B123" s="3"/>
      <c r="C123" s="3"/>
      <c r="D123" s="3" t="s">
        <v>250</v>
      </c>
      <c r="E123" s="3">
        <v>9718.0050216294148</v>
      </c>
      <c r="G123" s="3"/>
      <c r="H123" s="3"/>
      <c r="I123" s="3"/>
      <c r="J123" s="3" t="s">
        <v>250</v>
      </c>
      <c r="K123" s="3">
        <v>7132.4807498197542</v>
      </c>
      <c r="M123" s="3"/>
      <c r="N123" s="3"/>
      <c r="O123" s="3"/>
      <c r="P123" s="3" t="s">
        <v>250</v>
      </c>
      <c r="Q123" s="3">
        <v>6359.795335255948</v>
      </c>
      <c r="S123" s="3"/>
      <c r="T123" s="3"/>
      <c r="U123" s="3"/>
      <c r="V123" s="3" t="s">
        <v>250</v>
      </c>
      <c r="W123" s="3">
        <v>7558.2026315789481</v>
      </c>
    </row>
    <row r="124" spans="1:23" x14ac:dyDescent="0.25">
      <c r="A124" s="3" t="s">
        <v>249</v>
      </c>
      <c r="B124" s="3">
        <f>4175.11*2</f>
        <v>8350.2199999999993</v>
      </c>
      <c r="C124" s="3"/>
      <c r="D124" s="3" t="s">
        <v>251</v>
      </c>
      <c r="E124" s="3">
        <f>E122+E123</f>
        <v>18068.225021629412</v>
      </c>
      <c r="G124" s="3" t="s">
        <v>249</v>
      </c>
      <c r="H124" s="3">
        <f>4175.11*2</f>
        <v>8350.2199999999993</v>
      </c>
      <c r="I124" s="3"/>
      <c r="J124" s="3" t="s">
        <v>251</v>
      </c>
      <c r="K124" s="3">
        <f>K122+K123</f>
        <v>15482.700749819753</v>
      </c>
      <c r="M124" s="3" t="s">
        <v>249</v>
      </c>
      <c r="N124" s="3">
        <f>4175.11*2</f>
        <v>8350.2199999999993</v>
      </c>
      <c r="O124" s="3"/>
      <c r="P124" s="3" t="s">
        <v>251</v>
      </c>
      <c r="Q124" s="3">
        <f>Q122+Q123</f>
        <v>14710.015335255946</v>
      </c>
      <c r="S124" s="3" t="s">
        <v>249</v>
      </c>
      <c r="T124" s="3">
        <f>3175.22*2</f>
        <v>6350.44</v>
      </c>
      <c r="U124" s="3"/>
      <c r="V124" s="3" t="s">
        <v>251</v>
      </c>
      <c r="W124" s="3">
        <f>W122+W123</f>
        <v>13908.642631578947</v>
      </c>
    </row>
    <row r="125" spans="1:23" x14ac:dyDescent="0.25">
      <c r="A125" s="3" t="s">
        <v>252</v>
      </c>
      <c r="B125" s="3">
        <v>5470.93</v>
      </c>
      <c r="C125" s="3"/>
      <c r="D125" s="3" t="s">
        <v>252</v>
      </c>
      <c r="E125" s="3">
        <v>13381.48</v>
      </c>
      <c r="G125" s="3" t="s">
        <v>252</v>
      </c>
      <c r="H125" s="3">
        <v>5470.93</v>
      </c>
      <c r="I125" s="3"/>
      <c r="J125" s="3" t="s">
        <v>252</v>
      </c>
      <c r="K125" s="3">
        <v>13381.48</v>
      </c>
      <c r="M125" s="3" t="s">
        <v>252</v>
      </c>
      <c r="N125" s="3">
        <v>5470.93</v>
      </c>
      <c r="O125" s="3"/>
      <c r="P125" s="3" t="s">
        <v>252</v>
      </c>
      <c r="Q125" s="3">
        <v>13381.48</v>
      </c>
      <c r="S125" s="3" t="s">
        <v>252</v>
      </c>
      <c r="T125" s="3">
        <v>5470.93</v>
      </c>
      <c r="U125" s="3"/>
      <c r="V125" s="3" t="s">
        <v>252</v>
      </c>
      <c r="W125" s="3">
        <v>13381.48</v>
      </c>
    </row>
    <row r="126" spans="1:23" x14ac:dyDescent="0.25">
      <c r="A126" s="3" t="s">
        <v>253</v>
      </c>
      <c r="B126" s="3">
        <f>B124-B125</f>
        <v>2879.2899999999991</v>
      </c>
      <c r="C126" s="3"/>
      <c r="D126" s="3" t="s">
        <v>253</v>
      </c>
      <c r="E126" s="3">
        <f>(E124-E125)</f>
        <v>4686.7450216294128</v>
      </c>
      <c r="G126" s="3" t="s">
        <v>253</v>
      </c>
      <c r="H126" s="3">
        <f>H124-H125</f>
        <v>2879.2899999999991</v>
      </c>
      <c r="I126" s="3"/>
      <c r="J126" s="3" t="s">
        <v>253</v>
      </c>
      <c r="K126" s="3">
        <f>(K124-K125)</f>
        <v>2101.2207498197531</v>
      </c>
      <c r="M126" s="3" t="s">
        <v>253</v>
      </c>
      <c r="N126" s="3">
        <f>N124-N125</f>
        <v>2879.2899999999991</v>
      </c>
      <c r="O126" s="3"/>
      <c r="P126" s="3" t="s">
        <v>253</v>
      </c>
      <c r="Q126" s="3">
        <f>(Q124-Q125)</f>
        <v>1328.5353352559468</v>
      </c>
      <c r="S126" s="3" t="s">
        <v>253</v>
      </c>
      <c r="T126" s="3">
        <f>T124-T125</f>
        <v>879.50999999999931</v>
      </c>
      <c r="U126" s="3"/>
      <c r="V126" s="3" t="s">
        <v>253</v>
      </c>
      <c r="W126" s="3">
        <f>(W124-W125)</f>
        <v>527.16263157894718</v>
      </c>
    </row>
    <row r="127" spans="1:23" x14ac:dyDescent="0.25">
      <c r="A127" s="3" t="s">
        <v>254</v>
      </c>
      <c r="B127" s="5">
        <v>0.10879999999999999</v>
      </c>
      <c r="C127" s="3"/>
      <c r="D127" s="3" t="s">
        <v>254</v>
      </c>
      <c r="E127" s="5">
        <v>0.21360000000000001</v>
      </c>
      <c r="G127" s="3" t="s">
        <v>254</v>
      </c>
      <c r="H127" s="5">
        <v>0.10879999999999999</v>
      </c>
      <c r="I127" s="3"/>
      <c r="J127" s="3" t="s">
        <v>254</v>
      </c>
      <c r="K127" s="5">
        <v>0.21360000000000001</v>
      </c>
      <c r="M127" s="3" t="s">
        <v>254</v>
      </c>
      <c r="N127" s="5">
        <v>0.10879999999999999</v>
      </c>
      <c r="O127" s="3"/>
      <c r="P127" s="3" t="s">
        <v>254</v>
      </c>
      <c r="Q127" s="5">
        <v>0.21360000000000001</v>
      </c>
      <c r="S127" s="3" t="s">
        <v>254</v>
      </c>
      <c r="T127" s="5">
        <v>0.10879999999999999</v>
      </c>
      <c r="U127" s="3"/>
      <c r="V127" s="3" t="s">
        <v>254</v>
      </c>
      <c r="W127" s="5">
        <v>0.21360000000000001</v>
      </c>
    </row>
    <row r="128" spans="1:23" x14ac:dyDescent="0.25">
      <c r="A128" s="3" t="s">
        <v>255</v>
      </c>
      <c r="B128" s="3">
        <f>B126*B127</f>
        <v>313.26675199999988</v>
      </c>
      <c r="C128" s="3"/>
      <c r="D128" s="3" t="s">
        <v>255</v>
      </c>
      <c r="E128" s="3">
        <f>(E126*E127)</f>
        <v>1001.0887366200426</v>
      </c>
      <c r="G128" s="3" t="s">
        <v>255</v>
      </c>
      <c r="H128" s="3">
        <f>H126*H127</f>
        <v>313.26675199999988</v>
      </c>
      <c r="I128" s="3"/>
      <c r="J128" s="3" t="s">
        <v>255</v>
      </c>
      <c r="K128" s="3">
        <f>(K126*K127)</f>
        <v>448.82075216149929</v>
      </c>
      <c r="M128" s="3" t="s">
        <v>255</v>
      </c>
      <c r="N128" s="3">
        <f>N126*N127</f>
        <v>313.26675199999988</v>
      </c>
      <c r="O128" s="3"/>
      <c r="P128" s="3" t="s">
        <v>255</v>
      </c>
      <c r="Q128" s="3">
        <f>(Q126*Q127)</f>
        <v>283.77514761067027</v>
      </c>
      <c r="S128" s="3" t="s">
        <v>255</v>
      </c>
      <c r="T128" s="3">
        <f>T126*T127</f>
        <v>95.690687999999923</v>
      </c>
      <c r="U128" s="3"/>
      <c r="V128" s="3" t="s">
        <v>255</v>
      </c>
      <c r="W128" s="3">
        <f>(W126*W127)</f>
        <v>112.60193810526313</v>
      </c>
    </row>
    <row r="129" spans="1:23" x14ac:dyDescent="0.25">
      <c r="A129" s="3" t="s">
        <v>256</v>
      </c>
      <c r="B129" s="3">
        <v>321.26</v>
      </c>
      <c r="C129" s="3"/>
      <c r="D129" s="3" t="s">
        <v>256</v>
      </c>
      <c r="E129" s="3">
        <v>1417.12</v>
      </c>
      <c r="G129" s="3" t="s">
        <v>256</v>
      </c>
      <c r="H129" s="3">
        <v>321.26</v>
      </c>
      <c r="I129" s="3"/>
      <c r="J129" s="3" t="s">
        <v>256</v>
      </c>
      <c r="K129" s="3">
        <v>1417.12</v>
      </c>
      <c r="M129" s="3" t="s">
        <v>256</v>
      </c>
      <c r="N129" s="3">
        <v>321.26</v>
      </c>
      <c r="O129" s="3"/>
      <c r="P129" s="3" t="s">
        <v>256</v>
      </c>
      <c r="Q129" s="3">
        <v>1417.12</v>
      </c>
      <c r="S129" s="3" t="s">
        <v>256</v>
      </c>
      <c r="T129" s="3">
        <v>321.26</v>
      </c>
      <c r="U129" s="3"/>
      <c r="V129" s="3" t="s">
        <v>256</v>
      </c>
      <c r="W129" s="3">
        <v>1417.12</v>
      </c>
    </row>
    <row r="130" spans="1:23" x14ac:dyDescent="0.25">
      <c r="A130" s="3" t="s">
        <v>257</v>
      </c>
      <c r="B130" s="3">
        <f>B128+B129</f>
        <v>634.52675199999987</v>
      </c>
      <c r="C130" s="3"/>
      <c r="D130" s="3" t="s">
        <v>257</v>
      </c>
      <c r="E130" s="3">
        <f>(E128+E129)</f>
        <v>2418.2087366200426</v>
      </c>
      <c r="G130" s="3" t="s">
        <v>257</v>
      </c>
      <c r="H130" s="3">
        <f>H128+H129</f>
        <v>634.52675199999987</v>
      </c>
      <c r="I130" s="3"/>
      <c r="J130" s="3" t="s">
        <v>257</v>
      </c>
      <c r="K130" s="3">
        <f>(K128+K129)</f>
        <v>1865.9407521614992</v>
      </c>
      <c r="M130" s="3" t="s">
        <v>257</v>
      </c>
      <c r="N130" s="3">
        <f>N128+N129</f>
        <v>634.52675199999987</v>
      </c>
      <c r="O130" s="3"/>
      <c r="P130" s="3" t="s">
        <v>257</v>
      </c>
      <c r="Q130" s="3">
        <f>(Q128+Q129)</f>
        <v>1700.8951476106702</v>
      </c>
      <c r="S130" s="3" t="s">
        <v>257</v>
      </c>
      <c r="T130" s="3">
        <f>T128+T129</f>
        <v>416.9506879999999</v>
      </c>
      <c r="U130" s="3"/>
      <c r="V130" s="3" t="s">
        <v>257</v>
      </c>
      <c r="W130" s="3">
        <f>(W128+W129)</f>
        <v>1529.721938105263</v>
      </c>
    </row>
    <row r="131" spans="1:23" x14ac:dyDescent="0.25">
      <c r="A131" s="3" t="s">
        <v>258</v>
      </c>
      <c r="B131" s="3"/>
      <c r="C131" s="3"/>
      <c r="D131" s="3" t="s">
        <v>258</v>
      </c>
      <c r="E131" s="3"/>
      <c r="G131" s="3" t="s">
        <v>258</v>
      </c>
      <c r="H131" s="3"/>
      <c r="I131" s="3"/>
      <c r="J131" s="3" t="s">
        <v>258</v>
      </c>
      <c r="K131" s="3"/>
      <c r="M131" s="3" t="s">
        <v>258</v>
      </c>
      <c r="N131" s="3"/>
      <c r="O131" s="3"/>
      <c r="P131" s="3" t="s">
        <v>258</v>
      </c>
      <c r="Q131" s="3"/>
      <c r="S131" s="3" t="s">
        <v>258</v>
      </c>
      <c r="T131" s="3"/>
      <c r="U131" s="3"/>
      <c r="V131" s="3" t="s">
        <v>258</v>
      </c>
      <c r="W131" s="3"/>
    </row>
    <row r="132" spans="1:23" x14ac:dyDescent="0.25">
      <c r="A132" s="3" t="s">
        <v>259</v>
      </c>
      <c r="B132" s="3">
        <f>(B130-B131)</f>
        <v>634.52675199999987</v>
      </c>
      <c r="C132" s="3"/>
      <c r="D132" s="3" t="s">
        <v>259</v>
      </c>
      <c r="E132" s="3">
        <f>(E130-E131)</f>
        <v>2418.2087366200426</v>
      </c>
      <c r="G132" s="3" t="s">
        <v>259</v>
      </c>
      <c r="H132" s="3">
        <f>(H130-H131)</f>
        <v>634.52675199999987</v>
      </c>
      <c r="I132" s="3"/>
      <c r="J132" s="3" t="s">
        <v>259</v>
      </c>
      <c r="K132" s="3">
        <f>(K130-K131)</f>
        <v>1865.9407521614992</v>
      </c>
      <c r="M132" s="3" t="s">
        <v>259</v>
      </c>
      <c r="N132" s="3">
        <f>(N130-N131)</f>
        <v>634.52675199999987</v>
      </c>
      <c r="O132" s="3"/>
      <c r="P132" s="3" t="s">
        <v>259</v>
      </c>
      <c r="Q132" s="3">
        <f>(Q130-Q131)</f>
        <v>1700.8951476106702</v>
      </c>
      <c r="S132" s="3" t="s">
        <v>259</v>
      </c>
      <c r="T132" s="3">
        <f>(T130-T131)</f>
        <v>416.9506879999999</v>
      </c>
      <c r="U132" s="3"/>
      <c r="V132" s="3" t="s">
        <v>259</v>
      </c>
      <c r="W132" s="3">
        <f>(W130-W131)</f>
        <v>1529.721938105263</v>
      </c>
    </row>
    <row r="133" spans="1:23" x14ac:dyDescent="0.25">
      <c r="A133" s="3"/>
      <c r="B133" s="3"/>
      <c r="C133" s="3"/>
      <c r="D133" s="3"/>
      <c r="E133" s="3"/>
      <c r="G133" s="3"/>
      <c r="H133" s="3"/>
      <c r="I133" s="3"/>
      <c r="J133" s="3"/>
      <c r="K133" s="3"/>
      <c r="M133" s="3"/>
      <c r="N133" s="3"/>
      <c r="O133" s="3"/>
      <c r="P133" s="3"/>
      <c r="Q133" s="3"/>
      <c r="S133" s="3"/>
      <c r="T133" s="3"/>
      <c r="U133" s="3"/>
      <c r="V133" s="3"/>
      <c r="W133" s="3"/>
    </row>
    <row r="134" spans="1:23" x14ac:dyDescent="0.25">
      <c r="A134" s="3"/>
      <c r="B134" s="3"/>
      <c r="C134" s="3"/>
      <c r="D134" s="3" t="s">
        <v>260</v>
      </c>
      <c r="E134" s="3">
        <f>E132-B132</f>
        <v>1783.6819846200428</v>
      </c>
      <c r="G134" s="3"/>
      <c r="H134" s="3"/>
      <c r="I134" s="3"/>
      <c r="J134" s="3" t="s">
        <v>260</v>
      </c>
      <c r="K134" s="3">
        <f>K132-H132</f>
        <v>1231.4140001614992</v>
      </c>
      <c r="M134" s="3"/>
      <c r="N134" s="3"/>
      <c r="O134" s="3"/>
      <c r="P134" s="3" t="s">
        <v>260</v>
      </c>
      <c r="Q134" s="3">
        <f>Q132-N132</f>
        <v>1066.3683956106702</v>
      </c>
      <c r="S134" s="3"/>
      <c r="T134" s="3"/>
      <c r="U134" s="3"/>
      <c r="V134" s="3" t="s">
        <v>260</v>
      </c>
      <c r="W134" s="3">
        <f>W132-T132</f>
        <v>1112.7712501052631</v>
      </c>
    </row>
    <row r="137" spans="1:23" ht="18.75" x14ac:dyDescent="0.3">
      <c r="A137" s="95" t="s">
        <v>332</v>
      </c>
      <c r="B137" s="96"/>
      <c r="C137" s="3"/>
      <c r="D137" s="96"/>
      <c r="E137" s="96"/>
      <c r="G137" s="95" t="s">
        <v>333</v>
      </c>
      <c r="H137" s="96"/>
      <c r="I137" s="3"/>
      <c r="J137" s="96"/>
      <c r="K137" s="96"/>
      <c r="M137" s="95" t="s">
        <v>334</v>
      </c>
      <c r="N137" s="96"/>
      <c r="O137" s="3"/>
      <c r="P137" s="96"/>
      <c r="Q137" s="96"/>
      <c r="S137" s="95" t="s">
        <v>335</v>
      </c>
      <c r="T137" s="96"/>
      <c r="U137" s="3"/>
      <c r="V137" s="96"/>
      <c r="W137" s="96"/>
    </row>
    <row r="138" spans="1:23" x14ac:dyDescent="0.25">
      <c r="A138" s="3"/>
      <c r="B138" s="3"/>
      <c r="C138" s="3"/>
      <c r="D138" s="3"/>
      <c r="E138" s="3"/>
      <c r="G138" s="3"/>
      <c r="H138" s="3"/>
      <c r="I138" s="3"/>
      <c r="J138" s="3"/>
      <c r="K138" s="3"/>
      <c r="M138" s="3"/>
      <c r="N138" s="3"/>
      <c r="O138" s="3"/>
      <c r="P138" s="3"/>
      <c r="Q138" s="3"/>
      <c r="S138" s="3"/>
      <c r="T138" s="3"/>
      <c r="U138" s="3"/>
      <c r="V138" s="3"/>
      <c r="W138" s="3"/>
    </row>
    <row r="139" spans="1:23" x14ac:dyDescent="0.25">
      <c r="A139" s="3"/>
      <c r="B139" s="3"/>
      <c r="C139" s="3"/>
      <c r="D139" s="3" t="s">
        <v>249</v>
      </c>
      <c r="E139" s="3">
        <f>B141</f>
        <v>7086</v>
      </c>
      <c r="G139" s="3"/>
      <c r="H139" s="3"/>
      <c r="I139" s="3"/>
      <c r="J139" s="3" t="s">
        <v>249</v>
      </c>
      <c r="K139" s="3">
        <f>H141</f>
        <v>6620</v>
      </c>
      <c r="M139" s="3"/>
      <c r="N139" s="3"/>
      <c r="O139" s="3"/>
      <c r="P139" s="3" t="s">
        <v>249</v>
      </c>
      <c r="Q139" s="3">
        <f>N141</f>
        <v>7932.8</v>
      </c>
      <c r="S139" s="3"/>
      <c r="T139" s="3"/>
      <c r="U139" s="3"/>
      <c r="V139" s="3" t="s">
        <v>249</v>
      </c>
      <c r="W139" s="3">
        <f>T141</f>
        <v>7119.48</v>
      </c>
    </row>
    <row r="140" spans="1:23" x14ac:dyDescent="0.25">
      <c r="A140" s="3"/>
      <c r="B140" s="3"/>
      <c r="C140" s="3"/>
      <c r="D140" s="3" t="s">
        <v>250</v>
      </c>
      <c r="E140" s="3">
        <v>8768.0052631578965</v>
      </c>
      <c r="G140" s="3"/>
      <c r="H140" s="3"/>
      <c r="I140" s="3"/>
      <c r="J140" s="3" t="s">
        <v>250</v>
      </c>
      <c r="K140" s="3">
        <v>8001.5578947368413</v>
      </c>
      <c r="M140" s="3"/>
      <c r="N140" s="3"/>
      <c r="O140" s="3"/>
      <c r="P140" s="3" t="s">
        <v>250</v>
      </c>
      <c r="Q140" s="3">
        <v>10160.768421052633</v>
      </c>
      <c r="S140" s="3"/>
      <c r="T140" s="3"/>
      <c r="U140" s="3"/>
      <c r="V140" s="3" t="s">
        <v>250</v>
      </c>
      <c r="W140" s="3">
        <v>8823.0710526315779</v>
      </c>
    </row>
    <row r="141" spans="1:23" x14ac:dyDescent="0.25">
      <c r="A141" s="3" t="s">
        <v>249</v>
      </c>
      <c r="B141" s="3">
        <f>3543*2</f>
        <v>7086</v>
      </c>
      <c r="C141" s="3"/>
      <c r="D141" s="3" t="s">
        <v>251</v>
      </c>
      <c r="E141" s="3">
        <f>E139+E140</f>
        <v>15854.005263157896</v>
      </c>
      <c r="G141" s="3" t="s">
        <v>249</v>
      </c>
      <c r="H141" s="3">
        <f>3310*2</f>
        <v>6620</v>
      </c>
      <c r="I141" s="3"/>
      <c r="J141" s="3" t="s">
        <v>251</v>
      </c>
      <c r="K141" s="3">
        <f>K139+K140</f>
        <v>14621.557894736841</v>
      </c>
      <c r="M141" s="3" t="s">
        <v>249</v>
      </c>
      <c r="N141" s="3">
        <f>3966.4*2</f>
        <v>7932.8</v>
      </c>
      <c r="O141" s="3"/>
      <c r="P141" s="3" t="s">
        <v>251</v>
      </c>
      <c r="Q141" s="3">
        <f>Q139+Q140</f>
        <v>18093.568421052634</v>
      </c>
      <c r="S141" s="3" t="s">
        <v>249</v>
      </c>
      <c r="T141" s="3">
        <f>3559.74*2</f>
        <v>7119.48</v>
      </c>
      <c r="U141" s="3"/>
      <c r="V141" s="3" t="s">
        <v>251</v>
      </c>
      <c r="W141" s="3">
        <f>W139+W140</f>
        <v>15942.551052631577</v>
      </c>
    </row>
    <row r="142" spans="1:23" x14ac:dyDescent="0.25">
      <c r="A142" s="3" t="s">
        <v>252</v>
      </c>
      <c r="B142" s="3">
        <v>5470.93</v>
      </c>
      <c r="C142" s="3"/>
      <c r="D142" s="3" t="s">
        <v>252</v>
      </c>
      <c r="E142" s="3">
        <v>13381.48</v>
      </c>
      <c r="G142" s="3" t="s">
        <v>252</v>
      </c>
      <c r="H142" s="3">
        <v>5470.93</v>
      </c>
      <c r="I142" s="3"/>
      <c r="J142" s="3" t="s">
        <v>252</v>
      </c>
      <c r="K142" s="3">
        <v>13381.48</v>
      </c>
      <c r="M142" s="3" t="s">
        <v>252</v>
      </c>
      <c r="N142" s="3">
        <v>5470.93</v>
      </c>
      <c r="O142" s="3"/>
      <c r="P142" s="3" t="s">
        <v>252</v>
      </c>
      <c r="Q142" s="3">
        <v>13381.48</v>
      </c>
      <c r="S142" s="3" t="s">
        <v>252</v>
      </c>
      <c r="T142" s="3">
        <v>5470.93</v>
      </c>
      <c r="U142" s="3"/>
      <c r="V142" s="3" t="s">
        <v>252</v>
      </c>
      <c r="W142" s="3">
        <v>13381.48</v>
      </c>
    </row>
    <row r="143" spans="1:23" x14ac:dyDescent="0.25">
      <c r="A143" s="3" t="s">
        <v>253</v>
      </c>
      <c r="B143" s="3">
        <f>B141-B142</f>
        <v>1615.0699999999997</v>
      </c>
      <c r="C143" s="3"/>
      <c r="D143" s="3" t="s">
        <v>253</v>
      </c>
      <c r="E143" s="3">
        <f>(E141-E142)</f>
        <v>2472.5252631578969</v>
      </c>
      <c r="G143" s="3" t="s">
        <v>253</v>
      </c>
      <c r="H143" s="3">
        <f>H141-H142</f>
        <v>1149.0699999999997</v>
      </c>
      <c r="I143" s="3"/>
      <c r="J143" s="3" t="s">
        <v>253</v>
      </c>
      <c r="K143" s="3">
        <f>(K141-K142)</f>
        <v>1240.0778947368417</v>
      </c>
      <c r="M143" s="3" t="s">
        <v>253</v>
      </c>
      <c r="N143" s="3">
        <f>N141-N142</f>
        <v>2461.87</v>
      </c>
      <c r="O143" s="3"/>
      <c r="P143" s="3" t="s">
        <v>253</v>
      </c>
      <c r="Q143" s="3">
        <f>(Q141-Q142)</f>
        <v>4712.0884210526347</v>
      </c>
      <c r="S143" s="3" t="s">
        <v>253</v>
      </c>
      <c r="T143" s="3">
        <f>T141-T142</f>
        <v>1648.5499999999993</v>
      </c>
      <c r="U143" s="3"/>
      <c r="V143" s="3" t="s">
        <v>253</v>
      </c>
      <c r="W143" s="3">
        <f>(W141-W142)</f>
        <v>2561.0710526315779</v>
      </c>
    </row>
    <row r="144" spans="1:23" x14ac:dyDescent="0.25">
      <c r="A144" s="3" t="s">
        <v>254</v>
      </c>
      <c r="B144" s="5">
        <v>0.10879999999999999</v>
      </c>
      <c r="C144" s="3"/>
      <c r="D144" s="3" t="s">
        <v>254</v>
      </c>
      <c r="E144" s="5">
        <v>0.21360000000000001</v>
      </c>
      <c r="G144" s="3" t="s">
        <v>254</v>
      </c>
      <c r="H144" s="5">
        <v>0.10879999999999999</v>
      </c>
      <c r="I144" s="3"/>
      <c r="J144" s="3" t="s">
        <v>254</v>
      </c>
      <c r="K144" s="5">
        <v>0.21360000000000001</v>
      </c>
      <c r="M144" s="3" t="s">
        <v>254</v>
      </c>
      <c r="N144" s="5">
        <v>0.10879999999999999</v>
      </c>
      <c r="O144" s="3"/>
      <c r="P144" s="3" t="s">
        <v>254</v>
      </c>
      <c r="Q144" s="5">
        <v>0.21360000000000001</v>
      </c>
      <c r="S144" s="3" t="s">
        <v>254</v>
      </c>
      <c r="T144" s="5">
        <v>0.10879999999999999</v>
      </c>
      <c r="U144" s="3"/>
      <c r="V144" s="3" t="s">
        <v>254</v>
      </c>
      <c r="W144" s="5">
        <v>0.21360000000000001</v>
      </c>
    </row>
    <row r="145" spans="1:23" x14ac:dyDescent="0.25">
      <c r="A145" s="3" t="s">
        <v>255</v>
      </c>
      <c r="B145" s="3">
        <f>B143*B144</f>
        <v>175.71961599999995</v>
      </c>
      <c r="C145" s="3"/>
      <c r="D145" s="3" t="s">
        <v>255</v>
      </c>
      <c r="E145" s="3">
        <f>(E143*E144)</f>
        <v>528.13139621052676</v>
      </c>
      <c r="G145" s="3" t="s">
        <v>255</v>
      </c>
      <c r="H145" s="3">
        <f>H143*H144</f>
        <v>125.01881599999996</v>
      </c>
      <c r="I145" s="3"/>
      <c r="J145" s="3" t="s">
        <v>255</v>
      </c>
      <c r="K145" s="3">
        <f>(K143*K144)</f>
        <v>264.88063831578938</v>
      </c>
      <c r="M145" s="3" t="s">
        <v>255</v>
      </c>
      <c r="N145" s="3">
        <f>N143*N144</f>
        <v>267.85145599999998</v>
      </c>
      <c r="O145" s="3"/>
      <c r="P145" s="3" t="s">
        <v>255</v>
      </c>
      <c r="Q145" s="3">
        <f>(Q143*Q144)</f>
        <v>1006.5020867368428</v>
      </c>
      <c r="S145" s="3" t="s">
        <v>255</v>
      </c>
      <c r="T145" s="3">
        <f>T143*T144</f>
        <v>179.3622399999999</v>
      </c>
      <c r="U145" s="3"/>
      <c r="V145" s="3" t="s">
        <v>255</v>
      </c>
      <c r="W145" s="3">
        <f>(W143*W144)</f>
        <v>547.04477684210508</v>
      </c>
    </row>
    <row r="146" spans="1:23" x14ac:dyDescent="0.25">
      <c r="A146" s="3" t="s">
        <v>256</v>
      </c>
      <c r="B146" s="3">
        <v>321.26</v>
      </c>
      <c r="C146" s="3"/>
      <c r="D146" s="3" t="s">
        <v>256</v>
      </c>
      <c r="E146" s="3">
        <v>1417.12</v>
      </c>
      <c r="G146" s="3" t="s">
        <v>256</v>
      </c>
      <c r="H146" s="3">
        <v>321.26</v>
      </c>
      <c r="I146" s="3"/>
      <c r="J146" s="3" t="s">
        <v>256</v>
      </c>
      <c r="K146" s="3">
        <v>1417.12</v>
      </c>
      <c r="M146" s="3" t="s">
        <v>256</v>
      </c>
      <c r="N146" s="3">
        <v>321.26</v>
      </c>
      <c r="O146" s="3"/>
      <c r="P146" s="3" t="s">
        <v>256</v>
      </c>
      <c r="Q146" s="3">
        <v>1417.12</v>
      </c>
      <c r="S146" s="3" t="s">
        <v>256</v>
      </c>
      <c r="T146" s="3">
        <v>321.26</v>
      </c>
      <c r="U146" s="3"/>
      <c r="V146" s="3" t="s">
        <v>256</v>
      </c>
      <c r="W146" s="3">
        <v>1417.12</v>
      </c>
    </row>
    <row r="147" spans="1:23" x14ac:dyDescent="0.25">
      <c r="A147" s="3" t="s">
        <v>257</v>
      </c>
      <c r="B147" s="3">
        <f>B145+B146</f>
        <v>496.97961599999996</v>
      </c>
      <c r="C147" s="3"/>
      <c r="D147" s="3" t="s">
        <v>257</v>
      </c>
      <c r="E147" s="3">
        <f>(E145+E146)</f>
        <v>1945.2513962105268</v>
      </c>
      <c r="G147" s="3" t="s">
        <v>257</v>
      </c>
      <c r="H147" s="3">
        <f>H145+H146</f>
        <v>446.27881599999995</v>
      </c>
      <c r="I147" s="3"/>
      <c r="J147" s="3" t="s">
        <v>257</v>
      </c>
      <c r="K147" s="3">
        <f>(K145+K146)</f>
        <v>1682.0006383157893</v>
      </c>
      <c r="M147" s="3" t="s">
        <v>257</v>
      </c>
      <c r="N147" s="3">
        <f>N145+N146</f>
        <v>589.11145599999998</v>
      </c>
      <c r="O147" s="3"/>
      <c r="P147" s="3" t="s">
        <v>257</v>
      </c>
      <c r="Q147" s="3">
        <f>(Q145+Q146)</f>
        <v>2423.6220867368429</v>
      </c>
      <c r="S147" s="3" t="s">
        <v>257</v>
      </c>
      <c r="T147" s="3">
        <f>T145+T146</f>
        <v>500.62223999999992</v>
      </c>
      <c r="U147" s="3"/>
      <c r="V147" s="3" t="s">
        <v>257</v>
      </c>
      <c r="W147" s="3">
        <f>(W145+W146)</f>
        <v>1964.1647768421049</v>
      </c>
    </row>
    <row r="148" spans="1:23" x14ac:dyDescent="0.25">
      <c r="A148" s="3" t="s">
        <v>258</v>
      </c>
      <c r="B148" s="3"/>
      <c r="C148" s="3"/>
      <c r="D148" s="3" t="s">
        <v>258</v>
      </c>
      <c r="E148" s="3"/>
      <c r="G148" s="3" t="s">
        <v>258</v>
      </c>
      <c r="H148" s="3"/>
      <c r="I148" s="3"/>
      <c r="J148" s="3" t="s">
        <v>258</v>
      </c>
      <c r="K148" s="3"/>
      <c r="M148" s="3" t="s">
        <v>258</v>
      </c>
      <c r="N148" s="3"/>
      <c r="O148" s="3"/>
      <c r="P148" s="3" t="s">
        <v>258</v>
      </c>
      <c r="Q148" s="3"/>
      <c r="S148" s="3" t="s">
        <v>258</v>
      </c>
      <c r="T148" s="3"/>
      <c r="U148" s="3"/>
      <c r="V148" s="3" t="s">
        <v>258</v>
      </c>
      <c r="W148" s="3"/>
    </row>
    <row r="149" spans="1:23" x14ac:dyDescent="0.25">
      <c r="A149" s="3" t="s">
        <v>259</v>
      </c>
      <c r="B149" s="3">
        <f>(B147-B148)</f>
        <v>496.97961599999996</v>
      </c>
      <c r="C149" s="3"/>
      <c r="D149" s="3" t="s">
        <v>259</v>
      </c>
      <c r="E149" s="3">
        <f>(E147-E148)</f>
        <v>1945.2513962105268</v>
      </c>
      <c r="G149" s="3" t="s">
        <v>259</v>
      </c>
      <c r="H149" s="3">
        <f>(H147-H148)</f>
        <v>446.27881599999995</v>
      </c>
      <c r="I149" s="3"/>
      <c r="J149" s="3" t="s">
        <v>259</v>
      </c>
      <c r="K149" s="3">
        <f>(K147-K148)</f>
        <v>1682.0006383157893</v>
      </c>
      <c r="M149" s="3" t="s">
        <v>259</v>
      </c>
      <c r="N149" s="3">
        <f>(N147-N148)</f>
        <v>589.11145599999998</v>
      </c>
      <c r="O149" s="3"/>
      <c r="P149" s="3" t="s">
        <v>259</v>
      </c>
      <c r="Q149" s="3">
        <f>(Q147-Q148)</f>
        <v>2423.6220867368429</v>
      </c>
      <c r="S149" s="3" t="s">
        <v>259</v>
      </c>
      <c r="T149" s="3">
        <f>(T147-T148)</f>
        <v>500.62223999999992</v>
      </c>
      <c r="U149" s="3"/>
      <c r="V149" s="3" t="s">
        <v>259</v>
      </c>
      <c r="W149" s="3">
        <f>(W147-W148)</f>
        <v>1964.1647768421049</v>
      </c>
    </row>
    <row r="150" spans="1:23" x14ac:dyDescent="0.25">
      <c r="A150" s="3"/>
      <c r="B150" s="3"/>
      <c r="C150" s="3"/>
      <c r="D150" s="3"/>
      <c r="E150" s="3"/>
      <c r="G150" s="3"/>
      <c r="H150" s="3"/>
      <c r="I150" s="3"/>
      <c r="J150" s="3"/>
      <c r="K150" s="3"/>
      <c r="M150" s="3"/>
      <c r="N150" s="3"/>
      <c r="O150" s="3"/>
      <c r="P150" s="3"/>
      <c r="Q150" s="3"/>
      <c r="S150" s="3"/>
      <c r="T150" s="3"/>
      <c r="U150" s="3"/>
      <c r="V150" s="3"/>
      <c r="W150" s="3"/>
    </row>
    <row r="151" spans="1:23" x14ac:dyDescent="0.25">
      <c r="A151" s="3"/>
      <c r="B151" s="3"/>
      <c r="C151" s="3"/>
      <c r="D151" s="3" t="s">
        <v>260</v>
      </c>
      <c r="E151" s="3">
        <f>E149-B149</f>
        <v>1448.2717802105267</v>
      </c>
      <c r="G151" s="3"/>
      <c r="H151" s="3"/>
      <c r="I151" s="3"/>
      <c r="J151" s="3" t="s">
        <v>260</v>
      </c>
      <c r="K151" s="3">
        <f>K149-H149</f>
        <v>1235.7218223157893</v>
      </c>
      <c r="M151" s="3"/>
      <c r="N151" s="3"/>
      <c r="O151" s="3"/>
      <c r="P151" s="3" t="s">
        <v>260</v>
      </c>
      <c r="Q151" s="3">
        <f>Q149-N149</f>
        <v>1834.5106307368428</v>
      </c>
      <c r="S151" s="3"/>
      <c r="T151" s="3"/>
      <c r="U151" s="3"/>
      <c r="V151" s="3" t="s">
        <v>260</v>
      </c>
      <c r="W151" s="3">
        <f>W149-T149</f>
        <v>1463.5425368421049</v>
      </c>
    </row>
    <row r="154" spans="1:23" ht="18.75" x14ac:dyDescent="0.3">
      <c r="A154" s="95" t="s">
        <v>336</v>
      </c>
      <c r="B154" s="96"/>
      <c r="C154" s="3"/>
      <c r="D154" s="96"/>
      <c r="E154" s="96"/>
      <c r="G154" s="95" t="s">
        <v>337</v>
      </c>
      <c r="H154" s="96"/>
      <c r="I154" s="3"/>
      <c r="J154" s="96"/>
      <c r="K154" s="96"/>
      <c r="M154" s="95" t="s">
        <v>338</v>
      </c>
      <c r="N154" s="96"/>
      <c r="O154" s="3"/>
      <c r="P154" s="96"/>
      <c r="Q154" s="96"/>
      <c r="S154" s="95" t="s">
        <v>339</v>
      </c>
      <c r="T154" s="96"/>
      <c r="U154" s="3"/>
      <c r="V154" s="96"/>
      <c r="W154" s="96"/>
    </row>
    <row r="155" spans="1:23" x14ac:dyDescent="0.25">
      <c r="A155" s="3"/>
      <c r="B155" s="3"/>
      <c r="C155" s="3"/>
      <c r="D155" s="3"/>
      <c r="E155" s="3"/>
      <c r="G155" s="3"/>
      <c r="H155" s="3"/>
      <c r="I155" s="3"/>
      <c r="J155" s="3"/>
      <c r="K155" s="3"/>
      <c r="M155" s="3"/>
      <c r="N155" s="3"/>
      <c r="O155" s="3"/>
      <c r="P155" s="3"/>
      <c r="Q155" s="3"/>
      <c r="S155" s="3"/>
      <c r="T155" s="3"/>
      <c r="U155" s="3"/>
      <c r="V155" s="3"/>
      <c r="W155" s="3"/>
    </row>
    <row r="156" spans="1:23" x14ac:dyDescent="0.25">
      <c r="A156" s="3"/>
      <c r="B156" s="3"/>
      <c r="C156" s="3"/>
      <c r="D156" s="3" t="s">
        <v>249</v>
      </c>
      <c r="E156" s="3">
        <f>B158</f>
        <v>13452</v>
      </c>
      <c r="G156" s="3"/>
      <c r="H156" s="3"/>
      <c r="I156" s="3"/>
      <c r="J156" s="3" t="s">
        <v>249</v>
      </c>
      <c r="K156" s="3">
        <f>H158</f>
        <v>7775.7</v>
      </c>
      <c r="M156" s="3"/>
      <c r="N156" s="3"/>
      <c r="O156" s="3"/>
      <c r="P156" s="3" t="s">
        <v>249</v>
      </c>
      <c r="Q156" s="3">
        <f>N158</f>
        <v>9122.2000000000007</v>
      </c>
      <c r="S156" s="3"/>
      <c r="T156" s="3"/>
      <c r="U156" s="3"/>
      <c r="V156" s="3" t="s">
        <v>249</v>
      </c>
      <c r="W156" s="3">
        <f>T158</f>
        <v>9122.2000000000007</v>
      </c>
    </row>
    <row r="157" spans="1:23" x14ac:dyDescent="0.25">
      <c r="A157" s="3"/>
      <c r="B157" s="3"/>
      <c r="C157" s="3"/>
      <c r="D157" s="3" t="s">
        <v>250</v>
      </c>
      <c r="E157" s="3">
        <v>15338.012054794519</v>
      </c>
      <c r="G157" s="3"/>
      <c r="H157" s="3"/>
      <c r="I157" s="3"/>
      <c r="J157" s="3" t="s">
        <v>250</v>
      </c>
      <c r="K157" s="3">
        <v>9902.3802631578947</v>
      </c>
      <c r="M157" s="3"/>
      <c r="N157" s="3"/>
      <c r="O157" s="3"/>
      <c r="P157" s="3" t="s">
        <v>250</v>
      </c>
      <c r="Q157" s="3">
        <v>12117.018421052633</v>
      </c>
      <c r="S157" s="3"/>
      <c r="T157" s="3"/>
      <c r="U157" s="3"/>
      <c r="V157" s="3" t="s">
        <v>250</v>
      </c>
      <c r="W157" s="3">
        <v>12117.018421052633</v>
      </c>
    </row>
    <row r="158" spans="1:23" x14ac:dyDescent="0.25">
      <c r="A158" s="3" t="s">
        <v>249</v>
      </c>
      <c r="B158" s="3">
        <f>6726*2</f>
        <v>13452</v>
      </c>
      <c r="C158" s="3"/>
      <c r="D158" s="3" t="s">
        <v>251</v>
      </c>
      <c r="E158" s="3">
        <f>E156+E157</f>
        <v>28790.012054794519</v>
      </c>
      <c r="G158" s="3" t="s">
        <v>249</v>
      </c>
      <c r="H158" s="3">
        <f>3887.85*2</f>
        <v>7775.7</v>
      </c>
      <c r="I158" s="3"/>
      <c r="J158" s="3" t="s">
        <v>251</v>
      </c>
      <c r="K158" s="3">
        <f>K156+K157</f>
        <v>17678.080263157895</v>
      </c>
      <c r="M158" s="3" t="s">
        <v>249</v>
      </c>
      <c r="N158" s="3">
        <f>4561.1*2</f>
        <v>9122.2000000000007</v>
      </c>
      <c r="O158" s="3"/>
      <c r="P158" s="3" t="s">
        <v>251</v>
      </c>
      <c r="Q158" s="3">
        <f>Q156+Q157</f>
        <v>21239.218421052632</v>
      </c>
      <c r="S158" s="3" t="s">
        <v>249</v>
      </c>
      <c r="T158" s="3">
        <f>4561.1*2</f>
        <v>9122.2000000000007</v>
      </c>
      <c r="U158" s="3"/>
      <c r="V158" s="3" t="s">
        <v>251</v>
      </c>
      <c r="W158" s="3">
        <f>W156+W157</f>
        <v>21239.218421052632</v>
      </c>
    </row>
    <row r="159" spans="1:23" x14ac:dyDescent="0.25">
      <c r="A159" s="3" t="s">
        <v>252</v>
      </c>
      <c r="B159" s="3">
        <v>13381.48</v>
      </c>
      <c r="C159" s="3"/>
      <c r="D159" s="3" t="s">
        <v>252</v>
      </c>
      <c r="E159" s="3">
        <v>26988.51</v>
      </c>
      <c r="G159" s="3" t="s">
        <v>252</v>
      </c>
      <c r="H159" s="3">
        <v>5470.93</v>
      </c>
      <c r="I159" s="3"/>
      <c r="J159" s="3" t="s">
        <v>252</v>
      </c>
      <c r="K159" s="3">
        <v>13381.48</v>
      </c>
      <c r="M159" s="3" t="s">
        <v>252</v>
      </c>
      <c r="N159" s="3">
        <v>5470.93</v>
      </c>
      <c r="O159" s="3"/>
      <c r="P159" s="3" t="s">
        <v>252</v>
      </c>
      <c r="Q159" s="3">
        <v>13381.48</v>
      </c>
      <c r="S159" s="3" t="s">
        <v>252</v>
      </c>
      <c r="T159" s="3">
        <v>5470.93</v>
      </c>
      <c r="U159" s="3"/>
      <c r="V159" s="3" t="s">
        <v>252</v>
      </c>
      <c r="W159" s="3">
        <v>13381.48</v>
      </c>
    </row>
    <row r="160" spans="1:23" x14ac:dyDescent="0.25">
      <c r="A160" s="3" t="s">
        <v>253</v>
      </c>
      <c r="B160" s="3">
        <f>B158-B159</f>
        <v>70.520000000000437</v>
      </c>
      <c r="C160" s="3"/>
      <c r="D160" s="3" t="s">
        <v>253</v>
      </c>
      <c r="E160" s="3">
        <f>(E158-E159)</f>
        <v>1801.5020547945205</v>
      </c>
      <c r="G160" s="3" t="s">
        <v>253</v>
      </c>
      <c r="H160" s="3">
        <f>H158-H159</f>
        <v>2304.7699999999995</v>
      </c>
      <c r="I160" s="3"/>
      <c r="J160" s="3" t="s">
        <v>253</v>
      </c>
      <c r="K160" s="3">
        <f>(K158-K159)</f>
        <v>4296.6002631578958</v>
      </c>
      <c r="M160" s="3" t="s">
        <v>253</v>
      </c>
      <c r="N160" s="3">
        <f>N158-N159</f>
        <v>3651.2700000000004</v>
      </c>
      <c r="O160" s="3"/>
      <c r="P160" s="3" t="s">
        <v>253</v>
      </c>
      <c r="Q160" s="3">
        <f>(Q158-Q159)</f>
        <v>7857.7384210526325</v>
      </c>
      <c r="S160" s="3" t="s">
        <v>253</v>
      </c>
      <c r="T160" s="3">
        <f>T158-T159</f>
        <v>3651.2700000000004</v>
      </c>
      <c r="U160" s="3"/>
      <c r="V160" s="3" t="s">
        <v>253</v>
      </c>
      <c r="W160" s="3">
        <f>(W158-W159)</f>
        <v>7857.7384210526325</v>
      </c>
    </row>
    <row r="161" spans="1:23" x14ac:dyDescent="0.25">
      <c r="A161" s="3" t="s">
        <v>254</v>
      </c>
      <c r="B161" s="5">
        <v>0.21360000000000001</v>
      </c>
      <c r="C161" s="3"/>
      <c r="D161" s="3" t="s">
        <v>254</v>
      </c>
      <c r="E161" s="5">
        <v>0.23519999999999999</v>
      </c>
      <c r="G161" s="3" t="s">
        <v>254</v>
      </c>
      <c r="H161" s="5">
        <v>0.10879999999999999</v>
      </c>
      <c r="I161" s="3"/>
      <c r="J161" s="3" t="s">
        <v>254</v>
      </c>
      <c r="K161" s="5">
        <v>0.21360000000000001</v>
      </c>
      <c r="M161" s="3" t="s">
        <v>254</v>
      </c>
      <c r="N161" s="5">
        <v>0.10879999999999999</v>
      </c>
      <c r="O161" s="3"/>
      <c r="P161" s="3" t="s">
        <v>254</v>
      </c>
      <c r="Q161" s="5">
        <v>0.21360000000000001</v>
      </c>
      <c r="S161" s="3" t="s">
        <v>254</v>
      </c>
      <c r="T161" s="5">
        <v>0.10879999999999999</v>
      </c>
      <c r="U161" s="3"/>
      <c r="V161" s="3" t="s">
        <v>254</v>
      </c>
      <c r="W161" s="5">
        <v>0.21360000000000001</v>
      </c>
    </row>
    <row r="162" spans="1:23" x14ac:dyDescent="0.25">
      <c r="A162" s="3" t="s">
        <v>255</v>
      </c>
      <c r="B162" s="3">
        <f>B160*B161</f>
        <v>15.063072000000094</v>
      </c>
      <c r="C162" s="3"/>
      <c r="D162" s="3" t="s">
        <v>255</v>
      </c>
      <c r="E162" s="3">
        <f>(E160*E161)</f>
        <v>423.71328328767123</v>
      </c>
      <c r="G162" s="3" t="s">
        <v>255</v>
      </c>
      <c r="H162" s="3">
        <f>H160*H161</f>
        <v>250.75897599999993</v>
      </c>
      <c r="I162" s="3"/>
      <c r="J162" s="3" t="s">
        <v>255</v>
      </c>
      <c r="K162" s="3">
        <f>(K160*K161)</f>
        <v>917.75381621052657</v>
      </c>
      <c r="M162" s="3" t="s">
        <v>255</v>
      </c>
      <c r="N162" s="3">
        <f>N160*N161</f>
        <v>397.25817600000005</v>
      </c>
      <c r="O162" s="3"/>
      <c r="P162" s="3" t="s">
        <v>255</v>
      </c>
      <c r="Q162" s="3">
        <f>(Q160*Q161)</f>
        <v>1678.4129267368423</v>
      </c>
      <c r="S162" s="3" t="s">
        <v>255</v>
      </c>
      <c r="T162" s="3">
        <f>T160*T161</f>
        <v>397.25817600000005</v>
      </c>
      <c r="U162" s="3"/>
      <c r="V162" s="3" t="s">
        <v>255</v>
      </c>
      <c r="W162" s="3">
        <f>(W160*W161)</f>
        <v>1678.4129267368423</v>
      </c>
    </row>
    <row r="163" spans="1:23" x14ac:dyDescent="0.25">
      <c r="A163" s="3" t="s">
        <v>256</v>
      </c>
      <c r="B163" s="3">
        <v>1417.12</v>
      </c>
      <c r="C163" s="3"/>
      <c r="D163" s="3" t="s">
        <v>256</v>
      </c>
      <c r="E163" s="3">
        <v>4323.58</v>
      </c>
      <c r="G163" s="3" t="s">
        <v>256</v>
      </c>
      <c r="H163" s="3">
        <v>321.26</v>
      </c>
      <c r="I163" s="3"/>
      <c r="J163" s="3" t="s">
        <v>256</v>
      </c>
      <c r="K163" s="3">
        <v>1417.12</v>
      </c>
      <c r="M163" s="3" t="s">
        <v>256</v>
      </c>
      <c r="N163" s="3">
        <v>321.26</v>
      </c>
      <c r="O163" s="3"/>
      <c r="P163" s="3" t="s">
        <v>256</v>
      </c>
      <c r="Q163" s="3">
        <v>1417.12</v>
      </c>
      <c r="S163" s="3" t="s">
        <v>256</v>
      </c>
      <c r="T163" s="3">
        <v>321.26</v>
      </c>
      <c r="U163" s="3"/>
      <c r="V163" s="3" t="s">
        <v>256</v>
      </c>
      <c r="W163" s="3">
        <v>1417.12</v>
      </c>
    </row>
    <row r="164" spans="1:23" x14ac:dyDescent="0.25">
      <c r="A164" s="3" t="s">
        <v>257</v>
      </c>
      <c r="B164" s="3">
        <f>B162+B163</f>
        <v>1432.183072</v>
      </c>
      <c r="C164" s="3"/>
      <c r="D164" s="3" t="s">
        <v>257</v>
      </c>
      <c r="E164" s="3">
        <f>(E162+E163)</f>
        <v>4747.2932832876713</v>
      </c>
      <c r="G164" s="3" t="s">
        <v>257</v>
      </c>
      <c r="H164" s="3">
        <f>H162+H163</f>
        <v>572.01897599999995</v>
      </c>
      <c r="I164" s="3"/>
      <c r="J164" s="3" t="s">
        <v>257</v>
      </c>
      <c r="K164" s="3">
        <f>(K162+K163)</f>
        <v>2334.8738162105265</v>
      </c>
      <c r="M164" s="3" t="s">
        <v>257</v>
      </c>
      <c r="N164" s="3">
        <f>N162+N163</f>
        <v>718.51817600000004</v>
      </c>
      <c r="O164" s="3"/>
      <c r="P164" s="3" t="s">
        <v>257</v>
      </c>
      <c r="Q164" s="3">
        <f>(Q162+Q163)</f>
        <v>3095.5329267368425</v>
      </c>
      <c r="S164" s="3" t="s">
        <v>257</v>
      </c>
      <c r="T164" s="3">
        <f>T162+T163</f>
        <v>718.51817600000004</v>
      </c>
      <c r="U164" s="3"/>
      <c r="V164" s="3" t="s">
        <v>257</v>
      </c>
      <c r="W164" s="3">
        <f>(W162+W163)</f>
        <v>3095.5329267368425</v>
      </c>
    </row>
    <row r="165" spans="1:23" x14ac:dyDescent="0.25">
      <c r="A165" s="3" t="s">
        <v>258</v>
      </c>
      <c r="B165" s="3"/>
      <c r="C165" s="3"/>
      <c r="D165" s="3" t="s">
        <v>258</v>
      </c>
      <c r="E165" s="3"/>
      <c r="G165" s="3" t="s">
        <v>258</v>
      </c>
      <c r="H165" s="3"/>
      <c r="I165" s="3"/>
      <c r="J165" s="3" t="s">
        <v>258</v>
      </c>
      <c r="K165" s="3"/>
      <c r="M165" s="3" t="s">
        <v>258</v>
      </c>
      <c r="N165" s="3"/>
      <c r="O165" s="3"/>
      <c r="P165" s="3" t="s">
        <v>258</v>
      </c>
      <c r="Q165" s="3"/>
      <c r="S165" s="3" t="s">
        <v>258</v>
      </c>
      <c r="T165" s="3"/>
      <c r="U165" s="3"/>
      <c r="V165" s="3" t="s">
        <v>258</v>
      </c>
      <c r="W165" s="3"/>
    </row>
    <row r="166" spans="1:23" x14ac:dyDescent="0.25">
      <c r="A166" s="3" t="s">
        <v>259</v>
      </c>
      <c r="B166" s="3">
        <f>(B164-B165)</f>
        <v>1432.183072</v>
      </c>
      <c r="C166" s="3"/>
      <c r="D166" s="3" t="s">
        <v>259</v>
      </c>
      <c r="E166" s="3">
        <f>(E164-E165)</f>
        <v>4747.2932832876713</v>
      </c>
      <c r="G166" s="3" t="s">
        <v>259</v>
      </c>
      <c r="H166" s="3">
        <f>(H164-H165)</f>
        <v>572.01897599999995</v>
      </c>
      <c r="I166" s="3"/>
      <c r="J166" s="3" t="s">
        <v>259</v>
      </c>
      <c r="K166" s="3">
        <f>(K164-K165)</f>
        <v>2334.8738162105265</v>
      </c>
      <c r="M166" s="3" t="s">
        <v>259</v>
      </c>
      <c r="N166" s="3">
        <f>(N164-N165)</f>
        <v>718.51817600000004</v>
      </c>
      <c r="O166" s="3"/>
      <c r="P166" s="3" t="s">
        <v>259</v>
      </c>
      <c r="Q166" s="3">
        <f>(Q164-Q165)</f>
        <v>3095.5329267368425</v>
      </c>
      <c r="S166" s="3" t="s">
        <v>259</v>
      </c>
      <c r="T166" s="3">
        <f>(T164-T165)</f>
        <v>718.51817600000004</v>
      </c>
      <c r="U166" s="3"/>
      <c r="V166" s="3" t="s">
        <v>259</v>
      </c>
      <c r="W166" s="3">
        <f>(W164-W165)</f>
        <v>3095.5329267368425</v>
      </c>
    </row>
    <row r="167" spans="1:23" x14ac:dyDescent="0.25">
      <c r="A167" s="3"/>
      <c r="B167" s="3"/>
      <c r="C167" s="3"/>
      <c r="D167" s="3"/>
      <c r="E167" s="3"/>
      <c r="G167" s="3"/>
      <c r="H167" s="3"/>
      <c r="I167" s="3"/>
      <c r="J167" s="3"/>
      <c r="K167" s="3"/>
      <c r="M167" s="3"/>
      <c r="N167" s="3"/>
      <c r="O167" s="3"/>
      <c r="P167" s="3"/>
      <c r="Q167" s="3"/>
      <c r="S167" s="3"/>
      <c r="T167" s="3"/>
      <c r="U167" s="3"/>
      <c r="V167" s="3"/>
      <c r="W167" s="3"/>
    </row>
    <row r="168" spans="1:23" x14ac:dyDescent="0.25">
      <c r="A168" s="3"/>
      <c r="B168" s="3"/>
      <c r="C168" s="3"/>
      <c r="D168" s="3" t="s">
        <v>260</v>
      </c>
      <c r="E168" s="3">
        <f>E166-B166</f>
        <v>3315.1102112876715</v>
      </c>
      <c r="G168" s="3"/>
      <c r="H168" s="3"/>
      <c r="I168" s="3"/>
      <c r="J168" s="3" t="s">
        <v>260</v>
      </c>
      <c r="K168" s="3">
        <f>K166-H166</f>
        <v>1762.8548402105266</v>
      </c>
      <c r="M168" s="3"/>
      <c r="N168" s="3"/>
      <c r="O168" s="3"/>
      <c r="P168" s="3" t="s">
        <v>260</v>
      </c>
      <c r="Q168" s="3">
        <f>Q166-N166</f>
        <v>2377.0147507368424</v>
      </c>
      <c r="S168" s="3"/>
      <c r="T168" s="3"/>
      <c r="U168" s="3"/>
      <c r="V168" s="3" t="s">
        <v>260</v>
      </c>
      <c r="W168" s="3">
        <f>W166-T166</f>
        <v>2377.0147507368424</v>
      </c>
    </row>
    <row r="171" spans="1:23" ht="18.75" x14ac:dyDescent="0.3">
      <c r="A171" s="95" t="s">
        <v>340</v>
      </c>
      <c r="B171" s="96"/>
      <c r="C171" s="3"/>
      <c r="D171" s="96"/>
      <c r="E171" s="96"/>
      <c r="G171" s="95" t="s">
        <v>341</v>
      </c>
      <c r="H171" s="96"/>
      <c r="I171" s="3"/>
      <c r="J171" s="96"/>
      <c r="K171" s="96"/>
      <c r="M171" s="95" t="s">
        <v>342</v>
      </c>
      <c r="N171" s="96"/>
      <c r="O171" s="3"/>
      <c r="P171" s="96"/>
      <c r="Q171" s="96"/>
      <c r="S171" s="95" t="s">
        <v>343</v>
      </c>
      <c r="T171" s="96"/>
      <c r="U171" s="3"/>
      <c r="V171" s="96"/>
      <c r="W171" s="96"/>
    </row>
    <row r="172" spans="1:23" x14ac:dyDescent="0.25">
      <c r="A172" s="3"/>
      <c r="B172" s="3"/>
      <c r="C172" s="3"/>
      <c r="D172" s="3"/>
      <c r="E172" s="3"/>
      <c r="G172" s="3"/>
      <c r="H172" s="3"/>
      <c r="I172" s="3"/>
      <c r="J172" s="3"/>
      <c r="K172" s="3"/>
      <c r="M172" s="3"/>
      <c r="N172" s="3"/>
      <c r="O172" s="3"/>
      <c r="P172" s="3"/>
      <c r="Q172" s="3"/>
      <c r="S172" s="3"/>
      <c r="T172" s="3"/>
      <c r="U172" s="3"/>
      <c r="V172" s="3"/>
      <c r="W172" s="3"/>
    </row>
    <row r="173" spans="1:23" x14ac:dyDescent="0.25">
      <c r="A173" s="3"/>
      <c r="B173" s="3"/>
      <c r="C173" s="3"/>
      <c r="D173" s="3" t="s">
        <v>249</v>
      </c>
      <c r="E173" s="3">
        <f>B175</f>
        <v>9814.16</v>
      </c>
      <c r="G173" s="3"/>
      <c r="H173" s="3"/>
      <c r="I173" s="3"/>
      <c r="J173" s="3" t="s">
        <v>249</v>
      </c>
      <c r="K173" s="3">
        <f>H175</f>
        <v>7638.82</v>
      </c>
      <c r="M173" s="3"/>
      <c r="N173" s="3"/>
      <c r="O173" s="3"/>
      <c r="P173" s="3" t="s">
        <v>249</v>
      </c>
      <c r="Q173" s="3">
        <f>N175</f>
        <v>6781.28</v>
      </c>
      <c r="S173" s="3"/>
      <c r="T173" s="3"/>
      <c r="U173" s="3"/>
      <c r="V173" s="3" t="s">
        <v>249</v>
      </c>
      <c r="W173" s="3">
        <f>T175</f>
        <v>15111.8</v>
      </c>
    </row>
    <row r="174" spans="1:23" x14ac:dyDescent="0.25">
      <c r="A174" s="3"/>
      <c r="B174" s="3"/>
      <c r="C174" s="3"/>
      <c r="D174" s="3" t="s">
        <v>250</v>
      </c>
      <c r="E174" s="3">
        <v>13255.11052631579</v>
      </c>
      <c r="G174" s="3"/>
      <c r="H174" s="3"/>
      <c r="I174" s="3"/>
      <c r="J174" s="3" t="s">
        <v>250</v>
      </c>
      <c r="K174" s="3">
        <v>9677.2486842105263</v>
      </c>
      <c r="M174" s="3"/>
      <c r="N174" s="3"/>
      <c r="O174" s="3"/>
      <c r="P174" s="3" t="s">
        <v>250</v>
      </c>
      <c r="Q174" s="3">
        <v>8266.8210526315779</v>
      </c>
      <c r="S174" s="3"/>
      <c r="T174" s="3"/>
      <c r="U174" s="3"/>
      <c r="V174" s="3" t="s">
        <v>250</v>
      </c>
      <c r="W174" s="3">
        <v>21968.334210526318</v>
      </c>
    </row>
    <row r="175" spans="1:23" x14ac:dyDescent="0.25">
      <c r="A175" s="3" t="s">
        <v>249</v>
      </c>
      <c r="B175" s="3">
        <f>4907.08*2</f>
        <v>9814.16</v>
      </c>
      <c r="C175" s="3"/>
      <c r="D175" s="3" t="s">
        <v>251</v>
      </c>
      <c r="E175" s="3">
        <f>E173+E174</f>
        <v>23069.270526315791</v>
      </c>
      <c r="G175" s="3" t="s">
        <v>249</v>
      </c>
      <c r="H175" s="3">
        <f>3819.41*2</f>
        <v>7638.82</v>
      </c>
      <c r="I175" s="3"/>
      <c r="J175" s="3" t="s">
        <v>251</v>
      </c>
      <c r="K175" s="3">
        <f>K173+K174</f>
        <v>17316.068684210528</v>
      </c>
      <c r="M175" s="3" t="s">
        <v>249</v>
      </c>
      <c r="N175" s="3">
        <f>3390.64*2</f>
        <v>6781.28</v>
      </c>
      <c r="O175" s="3"/>
      <c r="P175" s="3" t="s">
        <v>251</v>
      </c>
      <c r="Q175" s="3">
        <f>Q173+Q174</f>
        <v>15048.101052631577</v>
      </c>
      <c r="S175" s="3" t="s">
        <v>249</v>
      </c>
      <c r="T175" s="3">
        <f>7555.9*2</f>
        <v>15111.8</v>
      </c>
      <c r="U175" s="3"/>
      <c r="V175" s="3" t="s">
        <v>251</v>
      </c>
      <c r="W175" s="3">
        <f>W173+W174</f>
        <v>37080.134210526317</v>
      </c>
    </row>
    <row r="176" spans="1:23" x14ac:dyDescent="0.25">
      <c r="A176" s="3" t="s">
        <v>252</v>
      </c>
      <c r="B176" s="3">
        <v>9614.67</v>
      </c>
      <c r="C176" s="3"/>
      <c r="D176" s="3" t="s">
        <v>252</v>
      </c>
      <c r="E176" s="3">
        <v>13381.48</v>
      </c>
      <c r="G176" s="3" t="s">
        <v>252</v>
      </c>
      <c r="H176" s="3">
        <v>5470.93</v>
      </c>
      <c r="I176" s="3"/>
      <c r="J176" s="3" t="s">
        <v>252</v>
      </c>
      <c r="K176" s="3">
        <v>13381.48</v>
      </c>
      <c r="M176" s="3" t="s">
        <v>252</v>
      </c>
      <c r="N176" s="3">
        <v>5470.93</v>
      </c>
      <c r="O176" s="3"/>
      <c r="P176" s="3" t="s">
        <v>252</v>
      </c>
      <c r="Q176" s="3">
        <v>13381.48</v>
      </c>
      <c r="S176" s="3" t="s">
        <v>252</v>
      </c>
      <c r="T176" s="3">
        <v>13381.48</v>
      </c>
      <c r="U176" s="3"/>
      <c r="V176" s="3" t="s">
        <v>252</v>
      </c>
      <c r="W176" s="3">
        <v>26988.51</v>
      </c>
    </row>
    <row r="177" spans="1:23" x14ac:dyDescent="0.25">
      <c r="A177" s="3" t="s">
        <v>253</v>
      </c>
      <c r="B177" s="3">
        <f>B175-B176</f>
        <v>199.48999999999978</v>
      </c>
      <c r="C177" s="3"/>
      <c r="D177" s="3" t="s">
        <v>253</v>
      </c>
      <c r="E177" s="3">
        <f>(E175-E176)</f>
        <v>9687.7905263157918</v>
      </c>
      <c r="G177" s="3" t="s">
        <v>253</v>
      </c>
      <c r="H177" s="3">
        <f>H175-H176</f>
        <v>2167.8899999999994</v>
      </c>
      <c r="I177" s="3"/>
      <c r="J177" s="3" t="s">
        <v>253</v>
      </c>
      <c r="K177" s="3">
        <f>(K175-K176)</f>
        <v>3934.5886842105283</v>
      </c>
      <c r="M177" s="3" t="s">
        <v>253</v>
      </c>
      <c r="N177" s="3">
        <f>N175-N176</f>
        <v>1310.3499999999995</v>
      </c>
      <c r="O177" s="3"/>
      <c r="P177" s="3" t="s">
        <v>253</v>
      </c>
      <c r="Q177" s="3">
        <f>(Q175-Q176)</f>
        <v>1666.6210526315772</v>
      </c>
      <c r="S177" s="3" t="s">
        <v>253</v>
      </c>
      <c r="T177" s="3">
        <f>T175-T176</f>
        <v>1730.3199999999997</v>
      </c>
      <c r="U177" s="3"/>
      <c r="V177" s="3" t="s">
        <v>253</v>
      </c>
      <c r="W177" s="3">
        <f>(W175-W176)</f>
        <v>10091.624210526319</v>
      </c>
    </row>
    <row r="178" spans="1:23" x14ac:dyDescent="0.25">
      <c r="A178" s="3" t="s">
        <v>254</v>
      </c>
      <c r="B178" s="5">
        <v>0.16</v>
      </c>
      <c r="C178" s="3"/>
      <c r="D178" s="3" t="s">
        <v>254</v>
      </c>
      <c r="E178" s="5">
        <v>0.21360000000000001</v>
      </c>
      <c r="G178" s="3" t="s">
        <v>254</v>
      </c>
      <c r="H178" s="5">
        <v>0.10879999999999999</v>
      </c>
      <c r="I178" s="3"/>
      <c r="J178" s="3" t="s">
        <v>254</v>
      </c>
      <c r="K178" s="5">
        <v>0.21360000000000001</v>
      </c>
      <c r="M178" s="3" t="s">
        <v>254</v>
      </c>
      <c r="N178" s="5">
        <v>0.10879999999999999</v>
      </c>
      <c r="O178" s="3"/>
      <c r="P178" s="3" t="s">
        <v>254</v>
      </c>
      <c r="Q178" s="5">
        <v>0.21360000000000001</v>
      </c>
      <c r="S178" s="3" t="s">
        <v>254</v>
      </c>
      <c r="T178" s="5">
        <v>0.21360000000000001</v>
      </c>
      <c r="U178" s="3"/>
      <c r="V178" s="3" t="s">
        <v>254</v>
      </c>
      <c r="W178" s="5">
        <v>0.23519999999999999</v>
      </c>
    </row>
    <row r="179" spans="1:23" x14ac:dyDescent="0.25">
      <c r="A179" s="3" t="s">
        <v>255</v>
      </c>
      <c r="B179" s="3">
        <f>B177*B178</f>
        <v>31.918399999999966</v>
      </c>
      <c r="C179" s="3"/>
      <c r="D179" s="3" t="s">
        <v>255</v>
      </c>
      <c r="E179" s="3">
        <f>(E177*E178)</f>
        <v>2069.3120564210531</v>
      </c>
      <c r="G179" s="3" t="s">
        <v>255</v>
      </c>
      <c r="H179" s="3">
        <f>H177*H178</f>
        <v>235.86643199999992</v>
      </c>
      <c r="I179" s="3"/>
      <c r="J179" s="3" t="s">
        <v>255</v>
      </c>
      <c r="K179" s="3">
        <f>(K177*K178)</f>
        <v>840.42814294736888</v>
      </c>
      <c r="M179" s="3" t="s">
        <v>255</v>
      </c>
      <c r="N179" s="3">
        <f>N177*N178</f>
        <v>142.56607999999994</v>
      </c>
      <c r="O179" s="3"/>
      <c r="P179" s="3" t="s">
        <v>255</v>
      </c>
      <c r="Q179" s="3">
        <f>(Q177*Q178)</f>
        <v>355.99025684210488</v>
      </c>
      <c r="S179" s="3" t="s">
        <v>255</v>
      </c>
      <c r="T179" s="3">
        <f>T177*T178</f>
        <v>369.59635199999997</v>
      </c>
      <c r="U179" s="3"/>
      <c r="V179" s="3" t="s">
        <v>255</v>
      </c>
      <c r="W179" s="3">
        <f>(W177*W178)</f>
        <v>2373.5500143157901</v>
      </c>
    </row>
    <row r="180" spans="1:23" x14ac:dyDescent="0.25">
      <c r="A180" s="3" t="s">
        <v>256</v>
      </c>
      <c r="B180" s="3">
        <v>772.1</v>
      </c>
      <c r="C180" s="3"/>
      <c r="D180" s="3" t="s">
        <v>256</v>
      </c>
      <c r="E180" s="3">
        <v>1417.12</v>
      </c>
      <c r="G180" s="3" t="s">
        <v>256</v>
      </c>
      <c r="H180" s="3">
        <v>321.26</v>
      </c>
      <c r="I180" s="3"/>
      <c r="J180" s="3" t="s">
        <v>256</v>
      </c>
      <c r="K180" s="3">
        <v>1417.12</v>
      </c>
      <c r="M180" s="3" t="s">
        <v>256</v>
      </c>
      <c r="N180" s="3">
        <v>321.26</v>
      </c>
      <c r="O180" s="3"/>
      <c r="P180" s="3" t="s">
        <v>256</v>
      </c>
      <c r="Q180" s="3">
        <v>1417.12</v>
      </c>
      <c r="S180" s="3" t="s">
        <v>256</v>
      </c>
      <c r="T180" s="3">
        <v>1417.12</v>
      </c>
      <c r="U180" s="3"/>
      <c r="V180" s="3" t="s">
        <v>256</v>
      </c>
      <c r="W180" s="3">
        <v>4323.58</v>
      </c>
    </row>
    <row r="181" spans="1:23" x14ac:dyDescent="0.25">
      <c r="A181" s="3" t="s">
        <v>257</v>
      </c>
      <c r="B181" s="3">
        <f>B179+B180</f>
        <v>804.01840000000004</v>
      </c>
      <c r="C181" s="3"/>
      <c r="D181" s="3" t="s">
        <v>257</v>
      </c>
      <c r="E181" s="3">
        <f>(E179+E180)</f>
        <v>3486.4320564210529</v>
      </c>
      <c r="G181" s="3" t="s">
        <v>257</v>
      </c>
      <c r="H181" s="3">
        <f>H179+H180</f>
        <v>557.12643199999991</v>
      </c>
      <c r="I181" s="3"/>
      <c r="J181" s="3" t="s">
        <v>257</v>
      </c>
      <c r="K181" s="3">
        <f>(K179+K180)</f>
        <v>2257.5481429473689</v>
      </c>
      <c r="M181" s="3" t="s">
        <v>257</v>
      </c>
      <c r="N181" s="3">
        <f>N179+N180</f>
        <v>463.82607999999993</v>
      </c>
      <c r="O181" s="3"/>
      <c r="P181" s="3" t="s">
        <v>257</v>
      </c>
      <c r="Q181" s="3">
        <f>(Q179+Q180)</f>
        <v>1773.1102568421047</v>
      </c>
      <c r="S181" s="3" t="s">
        <v>257</v>
      </c>
      <c r="T181" s="3">
        <f>T179+T180</f>
        <v>1786.7163519999999</v>
      </c>
      <c r="U181" s="3"/>
      <c r="V181" s="3" t="s">
        <v>257</v>
      </c>
      <c r="W181" s="3">
        <f>(W179+W180)</f>
        <v>6697.1300143157896</v>
      </c>
    </row>
    <row r="182" spans="1:23" x14ac:dyDescent="0.25">
      <c r="A182" s="3" t="s">
        <v>258</v>
      </c>
      <c r="B182" s="3"/>
      <c r="C182" s="3"/>
      <c r="D182" s="3" t="s">
        <v>258</v>
      </c>
      <c r="E182" s="3"/>
      <c r="G182" s="3" t="s">
        <v>258</v>
      </c>
      <c r="H182" s="3"/>
      <c r="I182" s="3"/>
      <c r="J182" s="3" t="s">
        <v>258</v>
      </c>
      <c r="K182" s="3"/>
      <c r="M182" s="3" t="s">
        <v>258</v>
      </c>
      <c r="N182" s="3"/>
      <c r="O182" s="3"/>
      <c r="P182" s="3" t="s">
        <v>258</v>
      </c>
      <c r="Q182" s="3"/>
      <c r="S182" s="3" t="s">
        <v>258</v>
      </c>
      <c r="T182" s="3"/>
      <c r="U182" s="3"/>
      <c r="V182" s="3" t="s">
        <v>258</v>
      </c>
      <c r="W182" s="3"/>
    </row>
    <row r="183" spans="1:23" x14ac:dyDescent="0.25">
      <c r="A183" s="3" t="s">
        <v>259</v>
      </c>
      <c r="B183" s="3">
        <f>(B181-B182)</f>
        <v>804.01840000000004</v>
      </c>
      <c r="C183" s="3"/>
      <c r="D183" s="3" t="s">
        <v>259</v>
      </c>
      <c r="E183" s="3">
        <f>(E181-E182)</f>
        <v>3486.4320564210529</v>
      </c>
      <c r="G183" s="3" t="s">
        <v>259</v>
      </c>
      <c r="H183" s="3">
        <f>(H181-H182)</f>
        <v>557.12643199999991</v>
      </c>
      <c r="I183" s="3"/>
      <c r="J183" s="3" t="s">
        <v>259</v>
      </c>
      <c r="K183" s="3">
        <f>(K181-K182)</f>
        <v>2257.5481429473689</v>
      </c>
      <c r="M183" s="3" t="s">
        <v>259</v>
      </c>
      <c r="N183" s="3">
        <f>(N181-N182)</f>
        <v>463.82607999999993</v>
      </c>
      <c r="O183" s="3"/>
      <c r="P183" s="3" t="s">
        <v>259</v>
      </c>
      <c r="Q183" s="3">
        <f>(Q181-Q182)</f>
        <v>1773.1102568421047</v>
      </c>
      <c r="S183" s="3" t="s">
        <v>259</v>
      </c>
      <c r="T183" s="3">
        <f>(T181-T182)</f>
        <v>1786.7163519999999</v>
      </c>
      <c r="U183" s="3"/>
      <c r="V183" s="3" t="s">
        <v>259</v>
      </c>
      <c r="W183" s="3">
        <f>(W181-W182)</f>
        <v>6697.1300143157896</v>
      </c>
    </row>
    <row r="184" spans="1:23" x14ac:dyDescent="0.25">
      <c r="A184" s="3"/>
      <c r="B184" s="3"/>
      <c r="C184" s="3"/>
      <c r="D184" s="3"/>
      <c r="E184" s="3"/>
      <c r="G184" s="3"/>
      <c r="H184" s="3"/>
      <c r="I184" s="3"/>
      <c r="J184" s="3"/>
      <c r="K184" s="3"/>
      <c r="M184" s="3"/>
      <c r="N184" s="3"/>
      <c r="O184" s="3"/>
      <c r="P184" s="3"/>
      <c r="Q184" s="3"/>
      <c r="S184" s="3"/>
      <c r="T184" s="3"/>
      <c r="U184" s="3"/>
      <c r="V184" s="3"/>
      <c r="W184" s="3"/>
    </row>
    <row r="185" spans="1:23" x14ac:dyDescent="0.25">
      <c r="A185" s="3"/>
      <c r="B185" s="3"/>
      <c r="C185" s="3"/>
      <c r="D185" s="3" t="s">
        <v>260</v>
      </c>
      <c r="E185" s="3">
        <f>E183-B183</f>
        <v>2682.413656421053</v>
      </c>
      <c r="G185" s="3"/>
      <c r="H185" s="3"/>
      <c r="I185" s="3"/>
      <c r="J185" s="3" t="s">
        <v>260</v>
      </c>
      <c r="K185" s="3">
        <f>K183-H183</f>
        <v>1700.4217109473689</v>
      </c>
      <c r="M185" s="3"/>
      <c r="N185" s="3"/>
      <c r="O185" s="3"/>
      <c r="P185" s="3" t="s">
        <v>260</v>
      </c>
      <c r="Q185" s="3">
        <f>Q183-N183</f>
        <v>1309.2841768421049</v>
      </c>
      <c r="S185" s="3"/>
      <c r="T185" s="3"/>
      <c r="U185" s="3"/>
      <c r="V185" s="3" t="s">
        <v>260</v>
      </c>
      <c r="W185" s="3">
        <f>W183-T183</f>
        <v>4910.4136623157901</v>
      </c>
    </row>
    <row r="188" spans="1:23" ht="18.75" x14ac:dyDescent="0.3">
      <c r="A188" s="95" t="s">
        <v>344</v>
      </c>
      <c r="B188" s="96"/>
      <c r="C188" s="3"/>
      <c r="D188" s="96"/>
      <c r="E188" s="96"/>
      <c r="G188" s="95" t="s">
        <v>345</v>
      </c>
      <c r="H188" s="96"/>
      <c r="I188" s="3"/>
      <c r="J188" s="96"/>
      <c r="K188" s="96"/>
      <c r="M188" s="95" t="s">
        <v>346</v>
      </c>
      <c r="N188" s="96"/>
      <c r="O188" s="3"/>
      <c r="P188" s="96"/>
      <c r="Q188" s="96"/>
      <c r="S188" s="95" t="s">
        <v>347</v>
      </c>
      <c r="T188" s="96"/>
      <c r="U188" s="3"/>
      <c r="V188" s="96"/>
      <c r="W188" s="96"/>
    </row>
    <row r="189" spans="1:23" x14ac:dyDescent="0.25">
      <c r="A189" s="3"/>
      <c r="B189" s="3"/>
      <c r="C189" s="3"/>
      <c r="D189" s="3"/>
      <c r="E189" s="3"/>
      <c r="G189" s="3"/>
      <c r="H189" s="3"/>
      <c r="I189" s="3"/>
      <c r="J189" s="3"/>
      <c r="K189" s="3"/>
      <c r="M189" s="3"/>
      <c r="N189" s="3"/>
      <c r="O189" s="3"/>
      <c r="P189" s="3"/>
      <c r="Q189" s="3"/>
      <c r="S189" s="3"/>
      <c r="T189" s="3"/>
      <c r="U189" s="3"/>
      <c r="V189" s="3"/>
      <c r="W189" s="3"/>
    </row>
    <row r="190" spans="1:23" x14ac:dyDescent="0.25">
      <c r="A190" s="3"/>
      <c r="B190" s="3"/>
      <c r="C190" s="3"/>
      <c r="D190" s="3" t="s">
        <v>249</v>
      </c>
      <c r="E190" s="3">
        <f>B192</f>
        <v>7688.18</v>
      </c>
      <c r="G190" s="3"/>
      <c r="H190" s="3"/>
      <c r="I190" s="3"/>
      <c r="J190" s="3" t="s">
        <v>249</v>
      </c>
      <c r="K190" s="3">
        <f>H192</f>
        <v>13300</v>
      </c>
      <c r="M190" s="3"/>
      <c r="N190" s="3"/>
      <c r="O190" s="3"/>
      <c r="P190" s="3" t="s">
        <v>249</v>
      </c>
      <c r="Q190" s="3">
        <f>N192</f>
        <v>6745.4</v>
      </c>
      <c r="S190" s="3"/>
      <c r="T190" s="3"/>
      <c r="U190" s="3"/>
      <c r="V190" s="3" t="s">
        <v>249</v>
      </c>
      <c r="W190" s="3">
        <f>T192</f>
        <v>7446</v>
      </c>
    </row>
    <row r="191" spans="1:23" x14ac:dyDescent="0.25">
      <c r="A191" s="3"/>
      <c r="B191" s="3"/>
      <c r="C191" s="3"/>
      <c r="D191" s="3" t="s">
        <v>250</v>
      </c>
      <c r="E191" s="3">
        <v>9758.4328947368431</v>
      </c>
      <c r="G191" s="3"/>
      <c r="H191" s="3"/>
      <c r="I191" s="3"/>
      <c r="J191" s="3" t="s">
        <v>250</v>
      </c>
      <c r="K191" s="3">
        <v>18988.400000000001</v>
      </c>
      <c r="M191" s="3"/>
      <c r="N191" s="3"/>
      <c r="O191" s="3"/>
      <c r="P191" s="3" t="s">
        <v>250</v>
      </c>
      <c r="Q191" s="3">
        <v>8207.8078947368413</v>
      </c>
      <c r="S191" s="3"/>
      <c r="T191" s="3"/>
      <c r="U191" s="3"/>
      <c r="V191" s="3" t="s">
        <v>250</v>
      </c>
      <c r="W191" s="3">
        <v>9360.1105263157897</v>
      </c>
    </row>
    <row r="192" spans="1:23" x14ac:dyDescent="0.25">
      <c r="A192" s="3" t="s">
        <v>249</v>
      </c>
      <c r="B192" s="3">
        <f>3844.09*2</f>
        <v>7688.18</v>
      </c>
      <c r="C192" s="3"/>
      <c r="D192" s="3" t="s">
        <v>251</v>
      </c>
      <c r="E192" s="3">
        <f>E190+E191</f>
        <v>17446.612894736842</v>
      </c>
      <c r="G192" s="3" t="s">
        <v>249</v>
      </c>
      <c r="H192" s="3">
        <f>6650*2</f>
        <v>13300</v>
      </c>
      <c r="I192" s="3"/>
      <c r="J192" s="3" t="s">
        <v>251</v>
      </c>
      <c r="K192" s="3">
        <f>K190+K191</f>
        <v>32288.400000000001</v>
      </c>
      <c r="M192" s="3" t="s">
        <v>249</v>
      </c>
      <c r="N192" s="3">
        <f>3372.7*2</f>
        <v>6745.4</v>
      </c>
      <c r="O192" s="3"/>
      <c r="P192" s="3" t="s">
        <v>251</v>
      </c>
      <c r="Q192" s="3">
        <f>Q190+Q191</f>
        <v>14953.207894736841</v>
      </c>
      <c r="S192" s="3" t="s">
        <v>249</v>
      </c>
      <c r="T192" s="3">
        <f>3723*2</f>
        <v>7446</v>
      </c>
      <c r="U192" s="3"/>
      <c r="V192" s="3" t="s">
        <v>251</v>
      </c>
      <c r="W192" s="3">
        <f>W190+W191</f>
        <v>16806.110526315788</v>
      </c>
    </row>
    <row r="193" spans="1:23" x14ac:dyDescent="0.25">
      <c r="A193" s="3" t="s">
        <v>252</v>
      </c>
      <c r="B193" s="3">
        <v>5470.93</v>
      </c>
      <c r="C193" s="3"/>
      <c r="D193" s="3" t="s">
        <v>252</v>
      </c>
      <c r="E193" s="3">
        <v>13381.48</v>
      </c>
      <c r="G193" s="3" t="s">
        <v>252</v>
      </c>
      <c r="H193" s="3">
        <v>11176.63</v>
      </c>
      <c r="I193" s="3"/>
      <c r="J193" s="3" t="s">
        <v>252</v>
      </c>
      <c r="K193" s="3">
        <v>26988.51</v>
      </c>
      <c r="M193" s="3" t="s">
        <v>252</v>
      </c>
      <c r="N193" s="3">
        <v>5470.93</v>
      </c>
      <c r="O193" s="3"/>
      <c r="P193" s="3" t="s">
        <v>252</v>
      </c>
      <c r="Q193" s="3">
        <v>13381.48</v>
      </c>
      <c r="S193" s="3" t="s">
        <v>252</v>
      </c>
      <c r="T193" s="3">
        <v>5470.93</v>
      </c>
      <c r="U193" s="3"/>
      <c r="V193" s="3" t="s">
        <v>252</v>
      </c>
      <c r="W193" s="3">
        <v>13381.48</v>
      </c>
    </row>
    <row r="194" spans="1:23" x14ac:dyDescent="0.25">
      <c r="A194" s="3" t="s">
        <v>253</v>
      </c>
      <c r="B194" s="3">
        <f>B192-B193</f>
        <v>2217.25</v>
      </c>
      <c r="C194" s="3"/>
      <c r="D194" s="3" t="s">
        <v>253</v>
      </c>
      <c r="E194" s="3">
        <f>(E192-E193)</f>
        <v>4065.132894736842</v>
      </c>
      <c r="G194" s="3" t="s">
        <v>253</v>
      </c>
      <c r="H194" s="3">
        <f>H192-H193</f>
        <v>2123.3700000000008</v>
      </c>
      <c r="I194" s="3"/>
      <c r="J194" s="3" t="s">
        <v>253</v>
      </c>
      <c r="K194" s="3">
        <f>(K192-K193)</f>
        <v>5299.8900000000031</v>
      </c>
      <c r="M194" s="3" t="s">
        <v>253</v>
      </c>
      <c r="N194" s="3">
        <f>N192-N193</f>
        <v>1274.4699999999993</v>
      </c>
      <c r="O194" s="3"/>
      <c r="P194" s="3" t="s">
        <v>253</v>
      </c>
      <c r="Q194" s="3">
        <f>(Q192-Q193)</f>
        <v>1571.7278947368413</v>
      </c>
      <c r="S194" s="3" t="s">
        <v>253</v>
      </c>
      <c r="T194" s="3">
        <f>T192-T193</f>
        <v>1975.0699999999997</v>
      </c>
      <c r="U194" s="3"/>
      <c r="V194" s="3" t="s">
        <v>253</v>
      </c>
      <c r="W194" s="3">
        <f>(W192-W193)</f>
        <v>3424.6305263157883</v>
      </c>
    </row>
    <row r="195" spans="1:23" x14ac:dyDescent="0.25">
      <c r="A195" s="3" t="s">
        <v>254</v>
      </c>
      <c r="B195" s="5">
        <v>0.10879999999999999</v>
      </c>
      <c r="C195" s="3"/>
      <c r="D195" s="3" t="s">
        <v>254</v>
      </c>
      <c r="E195" s="5">
        <v>0.21360000000000001</v>
      </c>
      <c r="G195" s="3" t="s">
        <v>254</v>
      </c>
      <c r="H195" s="5">
        <v>0.1792</v>
      </c>
      <c r="I195" s="3"/>
      <c r="J195" s="3" t="s">
        <v>254</v>
      </c>
      <c r="K195" s="5">
        <v>0.23519999999999999</v>
      </c>
      <c r="M195" s="3" t="s">
        <v>254</v>
      </c>
      <c r="N195" s="5">
        <v>0.10879999999999999</v>
      </c>
      <c r="O195" s="3"/>
      <c r="P195" s="3" t="s">
        <v>254</v>
      </c>
      <c r="Q195" s="5">
        <v>0.21360000000000001</v>
      </c>
      <c r="S195" s="3" t="s">
        <v>254</v>
      </c>
      <c r="T195" s="5">
        <v>0.10879999999999999</v>
      </c>
      <c r="U195" s="3"/>
      <c r="V195" s="3" t="s">
        <v>254</v>
      </c>
      <c r="W195" s="5">
        <v>0.21360000000000001</v>
      </c>
    </row>
    <row r="196" spans="1:23" x14ac:dyDescent="0.25">
      <c r="A196" s="3" t="s">
        <v>255</v>
      </c>
      <c r="B196" s="3">
        <f>B194*B195</f>
        <v>241.23679999999999</v>
      </c>
      <c r="C196" s="3"/>
      <c r="D196" s="3" t="s">
        <v>255</v>
      </c>
      <c r="E196" s="3">
        <f>(E194*E195)</f>
        <v>868.31238631578947</v>
      </c>
      <c r="G196" s="3" t="s">
        <v>255</v>
      </c>
      <c r="H196" s="3">
        <f>H194*H195</f>
        <v>380.50790400000017</v>
      </c>
      <c r="I196" s="3"/>
      <c r="J196" s="3" t="s">
        <v>255</v>
      </c>
      <c r="K196" s="3">
        <f>(K194*K195)</f>
        <v>1246.5341280000007</v>
      </c>
      <c r="M196" s="3" t="s">
        <v>255</v>
      </c>
      <c r="N196" s="3">
        <f>N194*N195</f>
        <v>138.66233599999993</v>
      </c>
      <c r="O196" s="3"/>
      <c r="P196" s="3" t="s">
        <v>255</v>
      </c>
      <c r="Q196" s="3">
        <f>(Q194*Q195)</f>
        <v>335.72107831578933</v>
      </c>
      <c r="S196" s="3" t="s">
        <v>255</v>
      </c>
      <c r="T196" s="3">
        <f>T194*T195</f>
        <v>214.88761599999995</v>
      </c>
      <c r="U196" s="3"/>
      <c r="V196" s="3" t="s">
        <v>255</v>
      </c>
      <c r="W196" s="3">
        <f>(W194*W195)</f>
        <v>731.50108042105239</v>
      </c>
    </row>
    <row r="197" spans="1:23" x14ac:dyDescent="0.25">
      <c r="A197" s="3" t="s">
        <v>256</v>
      </c>
      <c r="B197" s="3">
        <v>321.26</v>
      </c>
      <c r="C197" s="3"/>
      <c r="D197" s="3" t="s">
        <v>256</v>
      </c>
      <c r="E197" s="3">
        <v>1417.12</v>
      </c>
      <c r="G197" s="3" t="s">
        <v>256</v>
      </c>
      <c r="H197" s="3">
        <v>1022.01</v>
      </c>
      <c r="I197" s="3"/>
      <c r="J197" s="3" t="s">
        <v>256</v>
      </c>
      <c r="K197" s="3">
        <v>4323.58</v>
      </c>
      <c r="M197" s="3" t="s">
        <v>256</v>
      </c>
      <c r="N197" s="3">
        <v>321.26</v>
      </c>
      <c r="O197" s="3"/>
      <c r="P197" s="3" t="s">
        <v>256</v>
      </c>
      <c r="Q197" s="3">
        <v>1417.12</v>
      </c>
      <c r="S197" s="3" t="s">
        <v>256</v>
      </c>
      <c r="T197" s="3">
        <v>321.26</v>
      </c>
      <c r="U197" s="3"/>
      <c r="V197" s="3" t="s">
        <v>256</v>
      </c>
      <c r="W197" s="3">
        <v>1417.12</v>
      </c>
    </row>
    <row r="198" spans="1:23" x14ac:dyDescent="0.25">
      <c r="A198" s="3" t="s">
        <v>257</v>
      </c>
      <c r="B198" s="3">
        <f>B196+B197</f>
        <v>562.49680000000001</v>
      </c>
      <c r="C198" s="3"/>
      <c r="D198" s="3" t="s">
        <v>257</v>
      </c>
      <c r="E198" s="3">
        <f>(E196+E197)</f>
        <v>2285.4323863157892</v>
      </c>
      <c r="G198" s="3" t="s">
        <v>257</v>
      </c>
      <c r="H198" s="3">
        <f>H196+H197</f>
        <v>1402.5179040000003</v>
      </c>
      <c r="I198" s="3"/>
      <c r="J198" s="3" t="s">
        <v>257</v>
      </c>
      <c r="K198" s="3">
        <f>(K196+K197)</f>
        <v>5570.1141280000011</v>
      </c>
      <c r="M198" s="3" t="s">
        <v>257</v>
      </c>
      <c r="N198" s="3">
        <f>N196+N197</f>
        <v>459.92233599999992</v>
      </c>
      <c r="O198" s="3"/>
      <c r="P198" s="3" t="s">
        <v>257</v>
      </c>
      <c r="Q198" s="3">
        <f>(Q196+Q197)</f>
        <v>1752.8410783157892</v>
      </c>
      <c r="S198" s="3" t="s">
        <v>257</v>
      </c>
      <c r="T198" s="3">
        <f>T196+T197</f>
        <v>536.14761599999997</v>
      </c>
      <c r="U198" s="3"/>
      <c r="V198" s="3" t="s">
        <v>257</v>
      </c>
      <c r="W198" s="3">
        <f>(W196+W197)</f>
        <v>2148.6210804210523</v>
      </c>
    </row>
    <row r="199" spans="1:23" x14ac:dyDescent="0.25">
      <c r="A199" s="3" t="s">
        <v>258</v>
      </c>
      <c r="B199" s="3"/>
      <c r="C199" s="3"/>
      <c r="D199" s="3" t="s">
        <v>258</v>
      </c>
      <c r="E199" s="3"/>
      <c r="G199" s="3" t="s">
        <v>258</v>
      </c>
      <c r="H199" s="3"/>
      <c r="I199" s="3"/>
      <c r="J199" s="3" t="s">
        <v>258</v>
      </c>
      <c r="K199" s="3"/>
      <c r="M199" s="3" t="s">
        <v>258</v>
      </c>
      <c r="N199" s="3"/>
      <c r="O199" s="3"/>
      <c r="P199" s="3" t="s">
        <v>258</v>
      </c>
      <c r="Q199" s="3"/>
      <c r="S199" s="3" t="s">
        <v>258</v>
      </c>
      <c r="T199" s="3"/>
      <c r="U199" s="3"/>
      <c r="V199" s="3" t="s">
        <v>258</v>
      </c>
      <c r="W199" s="3"/>
    </row>
    <row r="200" spans="1:23" x14ac:dyDescent="0.25">
      <c r="A200" s="3" t="s">
        <v>259</v>
      </c>
      <c r="B200" s="3">
        <f>(B198-B199)</f>
        <v>562.49680000000001</v>
      </c>
      <c r="C200" s="3"/>
      <c r="D200" s="3" t="s">
        <v>259</v>
      </c>
      <c r="E200" s="3">
        <f>(E198-E199)</f>
        <v>2285.4323863157892</v>
      </c>
      <c r="G200" s="3" t="s">
        <v>259</v>
      </c>
      <c r="H200" s="3">
        <f>(H198-H199)</f>
        <v>1402.5179040000003</v>
      </c>
      <c r="I200" s="3"/>
      <c r="J200" s="3" t="s">
        <v>259</v>
      </c>
      <c r="K200" s="3">
        <f>(K198-K199)</f>
        <v>5570.1141280000011</v>
      </c>
      <c r="M200" s="3" t="s">
        <v>259</v>
      </c>
      <c r="N200" s="3">
        <f>(N198-N199)</f>
        <v>459.92233599999992</v>
      </c>
      <c r="O200" s="3"/>
      <c r="P200" s="3" t="s">
        <v>259</v>
      </c>
      <c r="Q200" s="3">
        <f>(Q198-Q199)</f>
        <v>1752.8410783157892</v>
      </c>
      <c r="S200" s="3" t="s">
        <v>259</v>
      </c>
      <c r="T200" s="3">
        <f>(T198-T199)</f>
        <v>536.14761599999997</v>
      </c>
      <c r="U200" s="3"/>
      <c r="V200" s="3" t="s">
        <v>259</v>
      </c>
      <c r="W200" s="3">
        <f>(W198-W199)</f>
        <v>2148.6210804210523</v>
      </c>
    </row>
    <row r="201" spans="1:23" x14ac:dyDescent="0.25">
      <c r="A201" s="3"/>
      <c r="B201" s="3"/>
      <c r="C201" s="3"/>
      <c r="D201" s="3"/>
      <c r="E201" s="3"/>
      <c r="G201" s="3"/>
      <c r="H201" s="3"/>
      <c r="I201" s="3"/>
      <c r="J201" s="3"/>
      <c r="K201" s="3"/>
      <c r="M201" s="3"/>
      <c r="N201" s="3"/>
      <c r="O201" s="3"/>
      <c r="P201" s="3"/>
      <c r="Q201" s="3"/>
      <c r="S201" s="3"/>
      <c r="T201" s="3"/>
      <c r="U201" s="3"/>
      <c r="V201" s="3"/>
      <c r="W201" s="3"/>
    </row>
    <row r="202" spans="1:23" x14ac:dyDescent="0.25">
      <c r="A202" s="3"/>
      <c r="B202" s="3"/>
      <c r="C202" s="3"/>
      <c r="D202" s="3" t="s">
        <v>260</v>
      </c>
      <c r="E202" s="3">
        <f>E200-B200</f>
        <v>1722.9355863157894</v>
      </c>
      <c r="G202" s="3"/>
      <c r="H202" s="3"/>
      <c r="I202" s="3"/>
      <c r="J202" s="3" t="s">
        <v>260</v>
      </c>
      <c r="K202" s="3">
        <f>K200-H200</f>
        <v>4167.5962240000008</v>
      </c>
      <c r="M202" s="3"/>
      <c r="N202" s="3"/>
      <c r="O202" s="3"/>
      <c r="P202" s="3" t="s">
        <v>260</v>
      </c>
      <c r="Q202" s="3">
        <f>Q200-N200</f>
        <v>1292.9187423157894</v>
      </c>
      <c r="S202" s="3"/>
      <c r="T202" s="3"/>
      <c r="U202" s="3"/>
      <c r="V202" s="3" t="s">
        <v>260</v>
      </c>
      <c r="W202" s="3">
        <f>W200-T200</f>
        <v>1612.4734644210523</v>
      </c>
    </row>
    <row r="205" spans="1:23" ht="18.75" x14ac:dyDescent="0.3">
      <c r="A205" s="95" t="s">
        <v>348</v>
      </c>
      <c r="B205" s="96"/>
      <c r="C205" s="3"/>
      <c r="D205" s="96"/>
      <c r="E205" s="96"/>
      <c r="G205" s="95" t="s">
        <v>349</v>
      </c>
      <c r="H205" s="96"/>
      <c r="I205" s="3"/>
      <c r="J205" s="96"/>
      <c r="K205" s="96"/>
      <c r="M205" s="95" t="s">
        <v>350</v>
      </c>
      <c r="N205" s="96"/>
      <c r="O205" s="3"/>
      <c r="P205" s="96"/>
      <c r="Q205" s="96"/>
      <c r="S205" s="95" t="s">
        <v>351</v>
      </c>
      <c r="T205" s="96"/>
      <c r="U205" s="3"/>
      <c r="V205" s="96"/>
      <c r="W205" s="96"/>
    </row>
    <row r="206" spans="1:23" x14ac:dyDescent="0.25">
      <c r="A206" s="3"/>
      <c r="B206" s="3"/>
      <c r="C206" s="3"/>
      <c r="D206" s="3"/>
      <c r="E206" s="3"/>
      <c r="G206" s="3"/>
      <c r="H206" s="3"/>
      <c r="I206" s="3"/>
      <c r="J206" s="3"/>
      <c r="K206" s="3"/>
      <c r="M206" s="3"/>
      <c r="N206" s="3"/>
      <c r="O206" s="3"/>
      <c r="P206" s="3"/>
      <c r="Q206" s="3"/>
      <c r="S206" s="3"/>
      <c r="T206" s="3"/>
      <c r="U206" s="3"/>
      <c r="V206" s="3"/>
      <c r="W206" s="3"/>
    </row>
    <row r="207" spans="1:23" x14ac:dyDescent="0.25">
      <c r="A207" s="3"/>
      <c r="B207" s="3"/>
      <c r="C207" s="3"/>
      <c r="D207" s="3" t="s">
        <v>249</v>
      </c>
      <c r="E207" s="3">
        <f>B209</f>
        <v>6915.94</v>
      </c>
      <c r="G207" s="3"/>
      <c r="H207" s="3"/>
      <c r="I207" s="3"/>
      <c r="J207" s="3" t="s">
        <v>249</v>
      </c>
      <c r="K207" s="3">
        <f>H209</f>
        <v>7946.22</v>
      </c>
      <c r="M207" s="3"/>
      <c r="N207" s="3"/>
      <c r="O207" s="3"/>
      <c r="P207" s="3" t="s">
        <v>249</v>
      </c>
      <c r="Q207" s="3">
        <f>N209</f>
        <v>7978</v>
      </c>
      <c r="S207" s="3"/>
      <c r="T207" s="3"/>
      <c r="U207" s="3"/>
      <c r="V207" s="3" t="s">
        <v>249</v>
      </c>
      <c r="W207" s="3">
        <f>T209</f>
        <v>10052.26</v>
      </c>
    </row>
    <row r="208" spans="1:23" x14ac:dyDescent="0.25">
      <c r="A208" s="3"/>
      <c r="B208" s="3"/>
      <c r="C208" s="3"/>
      <c r="D208" s="3" t="s">
        <v>250</v>
      </c>
      <c r="E208" s="3">
        <v>8488.3013157894729</v>
      </c>
      <c r="G208" s="3"/>
      <c r="H208" s="3"/>
      <c r="I208" s="3"/>
      <c r="J208" s="3" t="s">
        <v>250</v>
      </c>
      <c r="K208" s="3">
        <v>10182.840789473685</v>
      </c>
      <c r="M208" s="3"/>
      <c r="N208" s="3"/>
      <c r="O208" s="3"/>
      <c r="P208" s="3" t="s">
        <v>250</v>
      </c>
      <c r="Q208" s="3">
        <v>10235.110526315788</v>
      </c>
      <c r="S208" s="3"/>
      <c r="T208" s="3"/>
      <c r="U208" s="3"/>
      <c r="V208" s="3" t="s">
        <v>250</v>
      </c>
      <c r="W208" s="3">
        <v>13646.722368421053</v>
      </c>
    </row>
    <row r="209" spans="1:23" x14ac:dyDescent="0.25">
      <c r="A209" s="3" t="s">
        <v>249</v>
      </c>
      <c r="B209" s="3">
        <f>3457.97*2</f>
        <v>6915.94</v>
      </c>
      <c r="C209" s="3"/>
      <c r="D209" s="3" t="s">
        <v>251</v>
      </c>
      <c r="E209" s="3">
        <f>E207+E208</f>
        <v>15404.241315789473</v>
      </c>
      <c r="G209" s="3" t="s">
        <v>249</v>
      </c>
      <c r="H209" s="3">
        <f>3973.11*2</f>
        <v>7946.22</v>
      </c>
      <c r="I209" s="3"/>
      <c r="J209" s="3" t="s">
        <v>251</v>
      </c>
      <c r="K209" s="3">
        <f>K207+K208</f>
        <v>18129.060789473686</v>
      </c>
      <c r="M209" s="3" t="s">
        <v>249</v>
      </c>
      <c r="N209" s="3">
        <f>3989*2</f>
        <v>7978</v>
      </c>
      <c r="O209" s="3"/>
      <c r="P209" s="3" t="s">
        <v>251</v>
      </c>
      <c r="Q209" s="3">
        <f>Q207+Q208</f>
        <v>18213.110526315788</v>
      </c>
      <c r="S209" s="3" t="s">
        <v>249</v>
      </c>
      <c r="T209" s="3">
        <f>5026.13*2</f>
        <v>10052.26</v>
      </c>
      <c r="U209" s="3"/>
      <c r="V209" s="3" t="s">
        <v>251</v>
      </c>
      <c r="W209" s="3">
        <f>W207+W208</f>
        <v>23698.982368421053</v>
      </c>
    </row>
    <row r="210" spans="1:23" x14ac:dyDescent="0.25">
      <c r="A210" s="3" t="s">
        <v>252</v>
      </c>
      <c r="B210" s="3">
        <v>5470.93</v>
      </c>
      <c r="C210" s="3"/>
      <c r="D210" s="3" t="s">
        <v>252</v>
      </c>
      <c r="E210" s="3">
        <v>13381.48</v>
      </c>
      <c r="G210" s="3" t="s">
        <v>252</v>
      </c>
      <c r="H210" s="3">
        <v>5470.93</v>
      </c>
      <c r="I210" s="3"/>
      <c r="J210" s="3" t="s">
        <v>252</v>
      </c>
      <c r="K210" s="3">
        <v>13381.48</v>
      </c>
      <c r="M210" s="3" t="s">
        <v>252</v>
      </c>
      <c r="N210" s="3">
        <v>5470.93</v>
      </c>
      <c r="O210" s="3"/>
      <c r="P210" s="3" t="s">
        <v>252</v>
      </c>
      <c r="Q210" s="3">
        <v>13381.48</v>
      </c>
      <c r="S210" s="3" t="s">
        <v>252</v>
      </c>
      <c r="T210" s="3">
        <v>9614.67</v>
      </c>
      <c r="U210" s="3"/>
      <c r="V210" s="3" t="s">
        <v>252</v>
      </c>
      <c r="W210" s="3">
        <v>13381.48</v>
      </c>
    </row>
    <row r="211" spans="1:23" x14ac:dyDescent="0.25">
      <c r="A211" s="3" t="s">
        <v>253</v>
      </c>
      <c r="B211" s="3">
        <f>B209-B210</f>
        <v>1445.0099999999993</v>
      </c>
      <c r="C211" s="3"/>
      <c r="D211" s="3" t="s">
        <v>253</v>
      </c>
      <c r="E211" s="3">
        <f>(E209-E210)</f>
        <v>2022.7613157894739</v>
      </c>
      <c r="G211" s="3" t="s">
        <v>253</v>
      </c>
      <c r="H211" s="3">
        <f>H209-H210</f>
        <v>2475.29</v>
      </c>
      <c r="I211" s="3"/>
      <c r="J211" s="3" t="s">
        <v>253</v>
      </c>
      <c r="K211" s="3">
        <f>(K209-K210)</f>
        <v>4747.5807894736863</v>
      </c>
      <c r="M211" s="3" t="s">
        <v>253</v>
      </c>
      <c r="N211" s="3">
        <f>N209-N210</f>
        <v>2507.0699999999997</v>
      </c>
      <c r="O211" s="3"/>
      <c r="P211" s="3" t="s">
        <v>253</v>
      </c>
      <c r="Q211" s="3">
        <f>(Q209-Q210)</f>
        <v>4831.6305263157883</v>
      </c>
      <c r="S211" s="3" t="s">
        <v>253</v>
      </c>
      <c r="T211" s="3">
        <f>T209-T210</f>
        <v>437.59000000000015</v>
      </c>
      <c r="U211" s="3"/>
      <c r="V211" s="3" t="s">
        <v>253</v>
      </c>
      <c r="W211" s="3">
        <f>(W209-W210)</f>
        <v>10317.502368421054</v>
      </c>
    </row>
    <row r="212" spans="1:23" x14ac:dyDescent="0.25">
      <c r="A212" s="3" t="s">
        <v>254</v>
      </c>
      <c r="B212" s="5">
        <v>0.10879999999999999</v>
      </c>
      <c r="C212" s="3"/>
      <c r="D212" s="3" t="s">
        <v>254</v>
      </c>
      <c r="E212" s="5">
        <v>0.21360000000000001</v>
      </c>
      <c r="G212" s="3" t="s">
        <v>254</v>
      </c>
      <c r="H212" s="5">
        <v>0.10879999999999999</v>
      </c>
      <c r="I212" s="3"/>
      <c r="J212" s="3" t="s">
        <v>254</v>
      </c>
      <c r="K212" s="5">
        <v>0.21360000000000001</v>
      </c>
      <c r="M212" s="3" t="s">
        <v>254</v>
      </c>
      <c r="N212" s="5">
        <v>0.10879999999999999</v>
      </c>
      <c r="O212" s="3"/>
      <c r="P212" s="3" t="s">
        <v>254</v>
      </c>
      <c r="Q212" s="5">
        <v>0.21360000000000001</v>
      </c>
      <c r="S212" s="3" t="s">
        <v>254</v>
      </c>
      <c r="T212" s="5">
        <v>0.16</v>
      </c>
      <c r="U212" s="3"/>
      <c r="V212" s="3" t="s">
        <v>254</v>
      </c>
      <c r="W212" s="5">
        <v>0.21360000000000001</v>
      </c>
    </row>
    <row r="213" spans="1:23" x14ac:dyDescent="0.25">
      <c r="A213" s="3" t="s">
        <v>255</v>
      </c>
      <c r="B213" s="3">
        <f>B211*B212</f>
        <v>157.2170879999999</v>
      </c>
      <c r="C213" s="3"/>
      <c r="D213" s="3" t="s">
        <v>255</v>
      </c>
      <c r="E213" s="3">
        <f>(E211*E212)</f>
        <v>432.06181705263162</v>
      </c>
      <c r="G213" s="3" t="s">
        <v>255</v>
      </c>
      <c r="H213" s="3">
        <f>H211*H212</f>
        <v>269.31155200000001</v>
      </c>
      <c r="I213" s="3"/>
      <c r="J213" s="3" t="s">
        <v>255</v>
      </c>
      <c r="K213" s="3">
        <f>(K211*K212)</f>
        <v>1014.0832566315795</v>
      </c>
      <c r="M213" s="3" t="s">
        <v>255</v>
      </c>
      <c r="N213" s="3">
        <f>N211*N212</f>
        <v>272.76921599999997</v>
      </c>
      <c r="O213" s="3"/>
      <c r="P213" s="3" t="s">
        <v>255</v>
      </c>
      <c r="Q213" s="3">
        <f>(Q211*Q212)</f>
        <v>1032.0362804210524</v>
      </c>
      <c r="S213" s="3" t="s">
        <v>255</v>
      </c>
      <c r="T213" s="3">
        <f>T211*T212</f>
        <v>70.014400000000023</v>
      </c>
      <c r="U213" s="3"/>
      <c r="V213" s="3" t="s">
        <v>255</v>
      </c>
      <c r="W213" s="3">
        <f>(W211*W212)</f>
        <v>2203.818505894737</v>
      </c>
    </row>
    <row r="214" spans="1:23" x14ac:dyDescent="0.25">
      <c r="A214" s="3" t="s">
        <v>256</v>
      </c>
      <c r="B214" s="3">
        <v>321.26</v>
      </c>
      <c r="C214" s="3"/>
      <c r="D214" s="3" t="s">
        <v>256</v>
      </c>
      <c r="E214" s="3">
        <v>1417.12</v>
      </c>
      <c r="G214" s="3" t="s">
        <v>256</v>
      </c>
      <c r="H214" s="3">
        <v>321.26</v>
      </c>
      <c r="I214" s="3"/>
      <c r="J214" s="3" t="s">
        <v>256</v>
      </c>
      <c r="K214" s="3">
        <v>1417.12</v>
      </c>
      <c r="M214" s="3" t="s">
        <v>256</v>
      </c>
      <c r="N214" s="3">
        <v>321.26</v>
      </c>
      <c r="O214" s="3"/>
      <c r="P214" s="3" t="s">
        <v>256</v>
      </c>
      <c r="Q214" s="3">
        <v>1417.12</v>
      </c>
      <c r="S214" s="3" t="s">
        <v>256</v>
      </c>
      <c r="T214" s="3">
        <v>772.1</v>
      </c>
      <c r="U214" s="3"/>
      <c r="V214" s="3" t="s">
        <v>256</v>
      </c>
      <c r="W214" s="3">
        <v>1417.12</v>
      </c>
    </row>
    <row r="215" spans="1:23" x14ac:dyDescent="0.25">
      <c r="A215" s="3" t="s">
        <v>257</v>
      </c>
      <c r="B215" s="3">
        <f>B213+B214</f>
        <v>478.47708799999987</v>
      </c>
      <c r="C215" s="3"/>
      <c r="D215" s="3" t="s">
        <v>257</v>
      </c>
      <c r="E215" s="3">
        <f>(E213+E214)</f>
        <v>1849.1818170526315</v>
      </c>
      <c r="G215" s="3" t="s">
        <v>257</v>
      </c>
      <c r="H215" s="3">
        <f>H213+H214</f>
        <v>590.571552</v>
      </c>
      <c r="I215" s="3"/>
      <c r="J215" s="3" t="s">
        <v>257</v>
      </c>
      <c r="K215" s="3">
        <f>(K213+K214)</f>
        <v>2431.2032566315793</v>
      </c>
      <c r="M215" s="3" t="s">
        <v>257</v>
      </c>
      <c r="N215" s="3">
        <f>N213+N214</f>
        <v>594.02921599999991</v>
      </c>
      <c r="O215" s="3"/>
      <c r="P215" s="3" t="s">
        <v>257</v>
      </c>
      <c r="Q215" s="3">
        <f>(Q213+Q214)</f>
        <v>2449.1562804210525</v>
      </c>
      <c r="S215" s="3" t="s">
        <v>257</v>
      </c>
      <c r="T215" s="3">
        <f>T213+T214</f>
        <v>842.11440000000005</v>
      </c>
      <c r="U215" s="3"/>
      <c r="V215" s="3" t="s">
        <v>257</v>
      </c>
      <c r="W215" s="3">
        <f>(W213+W214)</f>
        <v>3620.9385058947369</v>
      </c>
    </row>
    <row r="216" spans="1:23" x14ac:dyDescent="0.25">
      <c r="A216" s="3" t="s">
        <v>258</v>
      </c>
      <c r="B216" s="3"/>
      <c r="C216" s="3"/>
      <c r="D216" s="3" t="s">
        <v>258</v>
      </c>
      <c r="E216" s="3"/>
      <c r="G216" s="3" t="s">
        <v>258</v>
      </c>
      <c r="H216" s="3"/>
      <c r="I216" s="3"/>
      <c r="J216" s="3" t="s">
        <v>258</v>
      </c>
      <c r="K216" s="3"/>
      <c r="M216" s="3" t="s">
        <v>258</v>
      </c>
      <c r="N216" s="3"/>
      <c r="O216" s="3"/>
      <c r="P216" s="3" t="s">
        <v>258</v>
      </c>
      <c r="Q216" s="3"/>
      <c r="S216" s="3" t="s">
        <v>258</v>
      </c>
      <c r="T216" s="3"/>
      <c r="U216" s="3"/>
      <c r="V216" s="3" t="s">
        <v>258</v>
      </c>
      <c r="W216" s="3"/>
    </row>
    <row r="217" spans="1:23" x14ac:dyDescent="0.25">
      <c r="A217" s="3" t="s">
        <v>259</v>
      </c>
      <c r="B217" s="3">
        <f>(B215-B216)</f>
        <v>478.47708799999987</v>
      </c>
      <c r="C217" s="3"/>
      <c r="D217" s="3" t="s">
        <v>259</v>
      </c>
      <c r="E217" s="3">
        <f>(E215-E216)</f>
        <v>1849.1818170526315</v>
      </c>
      <c r="G217" s="3" t="s">
        <v>259</v>
      </c>
      <c r="H217" s="3">
        <f>(H215-H216)</f>
        <v>590.571552</v>
      </c>
      <c r="I217" s="3"/>
      <c r="J217" s="3" t="s">
        <v>259</v>
      </c>
      <c r="K217" s="3">
        <f>(K215-K216)</f>
        <v>2431.2032566315793</v>
      </c>
      <c r="M217" s="3" t="s">
        <v>259</v>
      </c>
      <c r="N217" s="3">
        <f>(N215-N216)</f>
        <v>594.02921599999991</v>
      </c>
      <c r="O217" s="3"/>
      <c r="P217" s="3" t="s">
        <v>259</v>
      </c>
      <c r="Q217" s="3">
        <f>(Q215-Q216)</f>
        <v>2449.1562804210525</v>
      </c>
      <c r="S217" s="3" t="s">
        <v>259</v>
      </c>
      <c r="T217" s="3">
        <f>(T215-T216)</f>
        <v>842.11440000000005</v>
      </c>
      <c r="U217" s="3"/>
      <c r="V217" s="3" t="s">
        <v>259</v>
      </c>
      <c r="W217" s="3">
        <f>(W215-W216)</f>
        <v>3620.9385058947369</v>
      </c>
    </row>
    <row r="218" spans="1:23" x14ac:dyDescent="0.25">
      <c r="A218" s="3"/>
      <c r="B218" s="3"/>
      <c r="C218" s="3"/>
      <c r="D218" s="3"/>
      <c r="E218" s="3"/>
      <c r="G218" s="3"/>
      <c r="H218" s="3"/>
      <c r="I218" s="3"/>
      <c r="J218" s="3"/>
      <c r="K218" s="3"/>
      <c r="M218" s="3"/>
      <c r="N218" s="3"/>
      <c r="O218" s="3"/>
      <c r="P218" s="3"/>
      <c r="Q218" s="3"/>
      <c r="S218" s="3"/>
      <c r="T218" s="3"/>
      <c r="U218" s="3"/>
      <c r="V218" s="3"/>
      <c r="W218" s="3"/>
    </row>
    <row r="219" spans="1:23" x14ac:dyDescent="0.25">
      <c r="A219" s="3"/>
      <c r="B219" s="3"/>
      <c r="C219" s="3"/>
      <c r="D219" s="3" t="s">
        <v>260</v>
      </c>
      <c r="E219" s="3">
        <f>E217-B217</f>
        <v>1370.7047290526316</v>
      </c>
      <c r="G219" s="3"/>
      <c r="H219" s="3"/>
      <c r="I219" s="3"/>
      <c r="J219" s="3" t="s">
        <v>260</v>
      </c>
      <c r="K219" s="3">
        <f>K217-H217</f>
        <v>1840.6317046315794</v>
      </c>
      <c r="M219" s="3"/>
      <c r="N219" s="3"/>
      <c r="O219" s="3"/>
      <c r="P219" s="3" t="s">
        <v>260</v>
      </c>
      <c r="Q219" s="3">
        <f>Q217-N217</f>
        <v>1855.1270644210526</v>
      </c>
      <c r="S219" s="3"/>
      <c r="T219" s="3"/>
      <c r="U219" s="3"/>
      <c r="V219" s="3" t="s">
        <v>260</v>
      </c>
      <c r="W219" s="3">
        <f>W217-T217</f>
        <v>2778.8241058947369</v>
      </c>
    </row>
    <row r="222" spans="1:23" ht="18.75" x14ac:dyDescent="0.3">
      <c r="A222" s="95" t="s">
        <v>352</v>
      </c>
      <c r="B222" s="96"/>
      <c r="C222" s="3"/>
      <c r="D222" s="96"/>
      <c r="E222" s="96"/>
      <c r="G222" s="95" t="s">
        <v>353</v>
      </c>
      <c r="H222" s="96"/>
      <c r="I222" s="3"/>
      <c r="J222" s="96"/>
      <c r="K222" s="96"/>
      <c r="M222" s="95" t="s">
        <v>354</v>
      </c>
      <c r="N222" s="96"/>
      <c r="O222" s="3"/>
      <c r="P222" s="96"/>
      <c r="Q222" s="96"/>
      <c r="S222" s="95" t="s">
        <v>355</v>
      </c>
      <c r="T222" s="96"/>
      <c r="U222" s="3"/>
      <c r="V222" s="96"/>
      <c r="W222" s="96"/>
    </row>
    <row r="223" spans="1:23" x14ac:dyDescent="0.25">
      <c r="A223" s="3"/>
      <c r="B223" s="3"/>
      <c r="C223" s="3"/>
      <c r="D223" s="3"/>
      <c r="E223" s="3"/>
      <c r="G223" s="3"/>
      <c r="H223" s="3"/>
      <c r="I223" s="3"/>
      <c r="J223" s="3"/>
      <c r="K223" s="3"/>
      <c r="M223" s="3"/>
      <c r="N223" s="3"/>
      <c r="O223" s="3"/>
      <c r="P223" s="3"/>
      <c r="Q223" s="3"/>
      <c r="S223" s="3"/>
      <c r="T223" s="3"/>
      <c r="U223" s="3"/>
      <c r="V223" s="3"/>
      <c r="W223" s="3"/>
    </row>
    <row r="224" spans="1:23" x14ac:dyDescent="0.25">
      <c r="A224" s="3"/>
      <c r="B224" s="3"/>
      <c r="C224" s="3"/>
      <c r="D224" s="3" t="s">
        <v>249</v>
      </c>
      <c r="E224" s="3">
        <f>B226</f>
        <v>9122.2000000000007</v>
      </c>
      <c r="G224" s="3"/>
      <c r="H224" s="3"/>
      <c r="I224" s="3"/>
      <c r="J224" s="3" t="s">
        <v>249</v>
      </c>
      <c r="K224" s="3">
        <f>H226</f>
        <v>8224.5400000000009</v>
      </c>
      <c r="M224" s="3"/>
      <c r="N224" s="3"/>
      <c r="O224" s="3"/>
      <c r="P224" s="3" t="s">
        <v>249</v>
      </c>
      <c r="Q224" s="3">
        <f>N226</f>
        <v>6372.88</v>
      </c>
      <c r="S224" s="3"/>
      <c r="T224" s="3"/>
      <c r="U224" s="3"/>
      <c r="V224" s="3" t="s">
        <v>249</v>
      </c>
      <c r="W224" s="3">
        <f>T226</f>
        <v>7948.5</v>
      </c>
    </row>
    <row r="225" spans="1:23" x14ac:dyDescent="0.25">
      <c r="A225" s="3"/>
      <c r="B225" s="3"/>
      <c r="C225" s="3"/>
      <c r="D225" s="3" t="s">
        <v>250</v>
      </c>
      <c r="E225" s="3">
        <v>12117.018421052633</v>
      </c>
      <c r="G225" s="3"/>
      <c r="H225" s="3"/>
      <c r="I225" s="3"/>
      <c r="J225" s="3" t="s">
        <v>250</v>
      </c>
      <c r="K225" s="3">
        <v>10640.603947368423</v>
      </c>
      <c r="M225" s="3"/>
      <c r="N225" s="3"/>
      <c r="O225" s="3"/>
      <c r="P225" s="3" t="s">
        <v>250</v>
      </c>
      <c r="Q225" s="3">
        <v>7595.1105263157897</v>
      </c>
      <c r="S225" s="3"/>
      <c r="T225" s="3"/>
      <c r="U225" s="3"/>
      <c r="V225" s="3" t="s">
        <v>250</v>
      </c>
      <c r="W225" s="3">
        <v>10186.590789473685</v>
      </c>
    </row>
    <row r="226" spans="1:23" x14ac:dyDescent="0.25">
      <c r="A226" s="3" t="s">
        <v>249</v>
      </c>
      <c r="B226" s="3">
        <f>4561.1*2</f>
        <v>9122.2000000000007</v>
      </c>
      <c r="C226" s="3"/>
      <c r="D226" s="3" t="s">
        <v>251</v>
      </c>
      <c r="E226" s="3">
        <f>E224+E225</f>
        <v>21239.218421052632</v>
      </c>
      <c r="G226" s="3" t="s">
        <v>249</v>
      </c>
      <c r="H226" s="3">
        <f>4112.27*2</f>
        <v>8224.5400000000009</v>
      </c>
      <c r="I226" s="3"/>
      <c r="J226" s="3" t="s">
        <v>251</v>
      </c>
      <c r="K226" s="3">
        <f>K224+K225</f>
        <v>18865.143947368422</v>
      </c>
      <c r="M226" s="3" t="s">
        <v>249</v>
      </c>
      <c r="N226" s="3">
        <f>3186.44*2</f>
        <v>6372.88</v>
      </c>
      <c r="O226" s="3"/>
      <c r="P226" s="3" t="s">
        <v>251</v>
      </c>
      <c r="Q226" s="3">
        <f>Q224+Q225</f>
        <v>13967.990526315789</v>
      </c>
      <c r="S226" s="3" t="s">
        <v>249</v>
      </c>
      <c r="T226" s="3">
        <f>3974.25*2</f>
        <v>7948.5</v>
      </c>
      <c r="U226" s="3"/>
      <c r="V226" s="3" t="s">
        <v>251</v>
      </c>
      <c r="W226" s="3">
        <f>W224+W225</f>
        <v>18135.090789473685</v>
      </c>
    </row>
    <row r="227" spans="1:23" x14ac:dyDescent="0.25">
      <c r="A227" s="3" t="s">
        <v>252</v>
      </c>
      <c r="B227" s="3">
        <v>5470.93</v>
      </c>
      <c r="C227" s="3"/>
      <c r="D227" s="3" t="s">
        <v>252</v>
      </c>
      <c r="E227" s="3">
        <v>13381.48</v>
      </c>
      <c r="G227" s="3" t="s">
        <v>252</v>
      </c>
      <c r="H227" s="3">
        <v>5470.93</v>
      </c>
      <c r="I227" s="3"/>
      <c r="J227" s="3" t="s">
        <v>252</v>
      </c>
      <c r="K227" s="3">
        <v>13381.48</v>
      </c>
      <c r="M227" s="3" t="s">
        <v>252</v>
      </c>
      <c r="N227" s="3">
        <v>5470.93</v>
      </c>
      <c r="O227" s="3"/>
      <c r="P227" s="3" t="s">
        <v>252</v>
      </c>
      <c r="Q227" s="3">
        <v>13381.48</v>
      </c>
      <c r="S227" s="3" t="s">
        <v>252</v>
      </c>
      <c r="T227" s="3">
        <v>5470.93</v>
      </c>
      <c r="U227" s="3"/>
      <c r="V227" s="3" t="s">
        <v>252</v>
      </c>
      <c r="W227" s="3">
        <v>13381.48</v>
      </c>
    </row>
    <row r="228" spans="1:23" x14ac:dyDescent="0.25">
      <c r="A228" s="3" t="s">
        <v>253</v>
      </c>
      <c r="B228" s="3">
        <f>B226-B227</f>
        <v>3651.2700000000004</v>
      </c>
      <c r="C228" s="3"/>
      <c r="D228" s="3" t="s">
        <v>253</v>
      </c>
      <c r="E228" s="3">
        <f>(E226-E227)</f>
        <v>7857.7384210526325</v>
      </c>
      <c r="G228" s="3" t="s">
        <v>253</v>
      </c>
      <c r="H228" s="3">
        <f>H226-H227</f>
        <v>2753.6100000000006</v>
      </c>
      <c r="I228" s="3"/>
      <c r="J228" s="3" t="s">
        <v>253</v>
      </c>
      <c r="K228" s="3">
        <f>(K226-K227)</f>
        <v>5483.6639473684227</v>
      </c>
      <c r="M228" s="3" t="s">
        <v>253</v>
      </c>
      <c r="N228" s="3">
        <f>N226-N227</f>
        <v>901.94999999999982</v>
      </c>
      <c r="O228" s="3"/>
      <c r="P228" s="3" t="s">
        <v>253</v>
      </c>
      <c r="Q228" s="3">
        <f>(Q226-Q227)</f>
        <v>586.51052631578932</v>
      </c>
      <c r="S228" s="3" t="s">
        <v>253</v>
      </c>
      <c r="T228" s="3">
        <f>T226-T227</f>
        <v>2477.5699999999997</v>
      </c>
      <c r="U228" s="3"/>
      <c r="V228" s="3" t="s">
        <v>253</v>
      </c>
      <c r="W228" s="3">
        <f>(W226-W227)</f>
        <v>4753.6107894736851</v>
      </c>
    </row>
    <row r="229" spans="1:23" x14ac:dyDescent="0.25">
      <c r="A229" s="3" t="s">
        <v>254</v>
      </c>
      <c r="B229" s="5">
        <v>0.10879999999999999</v>
      </c>
      <c r="C229" s="3"/>
      <c r="D229" s="3" t="s">
        <v>254</v>
      </c>
      <c r="E229" s="5">
        <v>0.21360000000000001</v>
      </c>
      <c r="G229" s="3" t="s">
        <v>254</v>
      </c>
      <c r="H229" s="5">
        <v>0.10879999999999999</v>
      </c>
      <c r="I229" s="3"/>
      <c r="J229" s="3" t="s">
        <v>254</v>
      </c>
      <c r="K229" s="5">
        <v>0.21360000000000001</v>
      </c>
      <c r="M229" s="3" t="s">
        <v>254</v>
      </c>
      <c r="N229" s="5">
        <v>0.10879999999999999</v>
      </c>
      <c r="O229" s="3"/>
      <c r="P229" s="3" t="s">
        <v>254</v>
      </c>
      <c r="Q229" s="5">
        <v>0.21360000000000001</v>
      </c>
      <c r="S229" s="3" t="s">
        <v>254</v>
      </c>
      <c r="T229" s="5">
        <v>0.10879999999999999</v>
      </c>
      <c r="U229" s="3"/>
      <c r="V229" s="3" t="s">
        <v>254</v>
      </c>
      <c r="W229" s="5">
        <v>0.21360000000000001</v>
      </c>
    </row>
    <row r="230" spans="1:23" x14ac:dyDescent="0.25">
      <c r="A230" s="3" t="s">
        <v>255</v>
      </c>
      <c r="B230" s="3">
        <f>B228*B229</f>
        <v>397.25817600000005</v>
      </c>
      <c r="C230" s="3"/>
      <c r="D230" s="3" t="s">
        <v>255</v>
      </c>
      <c r="E230" s="3">
        <f>(E228*E229)</f>
        <v>1678.4129267368423</v>
      </c>
      <c r="G230" s="3" t="s">
        <v>255</v>
      </c>
      <c r="H230" s="3">
        <f>H228*H229</f>
        <v>299.59276800000004</v>
      </c>
      <c r="I230" s="3"/>
      <c r="J230" s="3" t="s">
        <v>255</v>
      </c>
      <c r="K230" s="3">
        <f>(K228*K229)</f>
        <v>1171.3106191578952</v>
      </c>
      <c r="M230" s="3" t="s">
        <v>255</v>
      </c>
      <c r="N230" s="3">
        <f>N228*N229</f>
        <v>98.132159999999971</v>
      </c>
      <c r="O230" s="3"/>
      <c r="P230" s="3" t="s">
        <v>255</v>
      </c>
      <c r="Q230" s="3">
        <f>(Q228*Q229)</f>
        <v>125.27864842105261</v>
      </c>
      <c r="S230" s="3" t="s">
        <v>255</v>
      </c>
      <c r="T230" s="3">
        <f>T228*T229</f>
        <v>269.55961599999995</v>
      </c>
      <c r="U230" s="3"/>
      <c r="V230" s="3" t="s">
        <v>255</v>
      </c>
      <c r="W230" s="3">
        <f>(W228*W229)</f>
        <v>1015.3712646315792</v>
      </c>
    </row>
    <row r="231" spans="1:23" x14ac:dyDescent="0.25">
      <c r="A231" s="3" t="s">
        <v>256</v>
      </c>
      <c r="B231" s="3">
        <v>321.26</v>
      </c>
      <c r="C231" s="3"/>
      <c r="D231" s="3" t="s">
        <v>256</v>
      </c>
      <c r="E231" s="3">
        <v>1417.12</v>
      </c>
      <c r="G231" s="3" t="s">
        <v>256</v>
      </c>
      <c r="H231" s="3">
        <v>321.26</v>
      </c>
      <c r="I231" s="3"/>
      <c r="J231" s="3" t="s">
        <v>256</v>
      </c>
      <c r="K231" s="3">
        <v>1417.12</v>
      </c>
      <c r="M231" s="3" t="s">
        <v>256</v>
      </c>
      <c r="N231" s="3">
        <v>321.26</v>
      </c>
      <c r="O231" s="3"/>
      <c r="P231" s="3" t="s">
        <v>256</v>
      </c>
      <c r="Q231" s="3">
        <v>1417.12</v>
      </c>
      <c r="S231" s="3" t="s">
        <v>256</v>
      </c>
      <c r="T231" s="3">
        <v>321.26</v>
      </c>
      <c r="U231" s="3"/>
      <c r="V231" s="3" t="s">
        <v>256</v>
      </c>
      <c r="W231" s="3">
        <v>1417.12</v>
      </c>
    </row>
    <row r="232" spans="1:23" x14ac:dyDescent="0.25">
      <c r="A232" s="3" t="s">
        <v>257</v>
      </c>
      <c r="B232" s="3">
        <f>B230+B231</f>
        <v>718.51817600000004</v>
      </c>
      <c r="C232" s="3"/>
      <c r="D232" s="3" t="s">
        <v>257</v>
      </c>
      <c r="E232" s="3">
        <f>(E230+E231)</f>
        <v>3095.5329267368425</v>
      </c>
      <c r="G232" s="3" t="s">
        <v>257</v>
      </c>
      <c r="H232" s="3">
        <f>H230+H231</f>
        <v>620.85276799999997</v>
      </c>
      <c r="I232" s="3"/>
      <c r="J232" s="3" t="s">
        <v>257</v>
      </c>
      <c r="K232" s="3">
        <f>(K230+K231)</f>
        <v>2588.4306191578953</v>
      </c>
      <c r="M232" s="3" t="s">
        <v>257</v>
      </c>
      <c r="N232" s="3">
        <f>N230+N231</f>
        <v>419.39215999999999</v>
      </c>
      <c r="O232" s="3"/>
      <c r="P232" s="3" t="s">
        <v>257</v>
      </c>
      <c r="Q232" s="3">
        <f>(Q230+Q231)</f>
        <v>1542.3986484210525</v>
      </c>
      <c r="S232" s="3" t="s">
        <v>257</v>
      </c>
      <c r="T232" s="3">
        <f>T230+T231</f>
        <v>590.819616</v>
      </c>
      <c r="U232" s="3"/>
      <c r="V232" s="3" t="s">
        <v>257</v>
      </c>
      <c r="W232" s="3">
        <f>(W230+W231)</f>
        <v>2432.4912646315788</v>
      </c>
    </row>
    <row r="233" spans="1:23" x14ac:dyDescent="0.25">
      <c r="A233" s="3" t="s">
        <v>258</v>
      </c>
      <c r="B233" s="3"/>
      <c r="C233" s="3"/>
      <c r="D233" s="3" t="s">
        <v>258</v>
      </c>
      <c r="E233" s="3"/>
      <c r="G233" s="3" t="s">
        <v>258</v>
      </c>
      <c r="H233" s="3"/>
      <c r="I233" s="3"/>
      <c r="J233" s="3" t="s">
        <v>258</v>
      </c>
      <c r="K233" s="3"/>
      <c r="M233" s="3" t="s">
        <v>258</v>
      </c>
      <c r="N233" s="3"/>
      <c r="O233" s="3"/>
      <c r="P233" s="3" t="s">
        <v>258</v>
      </c>
      <c r="Q233" s="3"/>
      <c r="S233" s="3" t="s">
        <v>258</v>
      </c>
      <c r="T233" s="3"/>
      <c r="U233" s="3"/>
      <c r="V233" s="3" t="s">
        <v>258</v>
      </c>
      <c r="W233" s="3"/>
    </row>
    <row r="234" spans="1:23" x14ac:dyDescent="0.25">
      <c r="A234" s="3" t="s">
        <v>259</v>
      </c>
      <c r="B234" s="3">
        <f>(B232-B233)</f>
        <v>718.51817600000004</v>
      </c>
      <c r="C234" s="3"/>
      <c r="D234" s="3" t="s">
        <v>259</v>
      </c>
      <c r="E234" s="3">
        <f>(E232-E233)</f>
        <v>3095.5329267368425</v>
      </c>
      <c r="G234" s="3" t="s">
        <v>259</v>
      </c>
      <c r="H234" s="3">
        <f>(H232-H233)</f>
        <v>620.85276799999997</v>
      </c>
      <c r="I234" s="3"/>
      <c r="J234" s="3" t="s">
        <v>259</v>
      </c>
      <c r="K234" s="3">
        <f>(K232-K233)</f>
        <v>2588.4306191578953</v>
      </c>
      <c r="M234" s="3" t="s">
        <v>259</v>
      </c>
      <c r="N234" s="3">
        <f>(N232-N233)</f>
        <v>419.39215999999999</v>
      </c>
      <c r="O234" s="3"/>
      <c r="P234" s="3" t="s">
        <v>259</v>
      </c>
      <c r="Q234" s="3">
        <f>(Q232-Q233)</f>
        <v>1542.3986484210525</v>
      </c>
      <c r="S234" s="3" t="s">
        <v>259</v>
      </c>
      <c r="T234" s="3">
        <f>(T232-T233)</f>
        <v>590.819616</v>
      </c>
      <c r="U234" s="3"/>
      <c r="V234" s="3" t="s">
        <v>259</v>
      </c>
      <c r="W234" s="3">
        <f>(W232-W233)</f>
        <v>2432.4912646315788</v>
      </c>
    </row>
    <row r="235" spans="1:23" x14ac:dyDescent="0.25">
      <c r="A235" s="3"/>
      <c r="B235" s="3"/>
      <c r="C235" s="3"/>
      <c r="D235" s="3"/>
      <c r="E235" s="3"/>
      <c r="G235" s="3"/>
      <c r="H235" s="3"/>
      <c r="I235" s="3"/>
      <c r="J235" s="3"/>
      <c r="K235" s="3"/>
      <c r="M235" s="3"/>
      <c r="N235" s="3"/>
      <c r="O235" s="3"/>
      <c r="P235" s="3"/>
      <c r="Q235" s="3"/>
      <c r="S235" s="3"/>
      <c r="T235" s="3"/>
      <c r="U235" s="3"/>
      <c r="V235" s="3"/>
      <c r="W235" s="3"/>
    </row>
    <row r="236" spans="1:23" x14ac:dyDescent="0.25">
      <c r="A236" s="3"/>
      <c r="B236" s="3"/>
      <c r="C236" s="3"/>
      <c r="D236" s="3" t="s">
        <v>260</v>
      </c>
      <c r="E236" s="3">
        <f>E234-B234</f>
        <v>2377.0147507368424</v>
      </c>
      <c r="G236" s="3"/>
      <c r="H236" s="3"/>
      <c r="I236" s="3"/>
      <c r="J236" s="3" t="s">
        <v>260</v>
      </c>
      <c r="K236" s="3">
        <f>K234-H234</f>
        <v>1967.5778511578953</v>
      </c>
      <c r="M236" s="3"/>
      <c r="N236" s="3"/>
      <c r="O236" s="3"/>
      <c r="P236" s="3" t="s">
        <v>260</v>
      </c>
      <c r="Q236" s="3">
        <f>Q234-N234</f>
        <v>1123.0064884210524</v>
      </c>
      <c r="S236" s="3"/>
      <c r="T236" s="3"/>
      <c r="U236" s="3"/>
      <c r="V236" s="3" t="s">
        <v>260</v>
      </c>
      <c r="W236" s="3">
        <f>W234-T234</f>
        <v>1841.6716486315788</v>
      </c>
    </row>
    <row r="239" spans="1:23" ht="18.75" x14ac:dyDescent="0.3">
      <c r="A239" s="95" t="s">
        <v>356</v>
      </c>
      <c r="B239" s="96"/>
      <c r="C239" s="3"/>
      <c r="D239" s="96"/>
      <c r="E239" s="96"/>
      <c r="G239" s="95" t="s">
        <v>357</v>
      </c>
      <c r="H239" s="96"/>
      <c r="I239" s="3"/>
      <c r="J239" s="96"/>
      <c r="K239" s="96"/>
      <c r="M239" s="95" t="s">
        <v>358</v>
      </c>
      <c r="N239" s="96"/>
      <c r="O239" s="3"/>
      <c r="P239" s="96"/>
      <c r="Q239" s="96"/>
      <c r="S239" s="95" t="s">
        <v>359</v>
      </c>
      <c r="T239" s="96"/>
      <c r="U239" s="3"/>
      <c r="V239" s="96"/>
      <c r="W239" s="96"/>
    </row>
    <row r="240" spans="1:23" x14ac:dyDescent="0.25">
      <c r="A240" s="3"/>
      <c r="B240" s="3"/>
      <c r="C240" s="3"/>
      <c r="D240" s="3"/>
      <c r="E240" s="3"/>
      <c r="G240" s="3"/>
      <c r="H240" s="3"/>
      <c r="I240" s="3"/>
      <c r="J240" s="3"/>
      <c r="K240" s="3"/>
      <c r="M240" s="3"/>
      <c r="N240" s="3"/>
      <c r="O240" s="3"/>
      <c r="P240" s="3"/>
      <c r="Q240" s="3"/>
      <c r="S240" s="3"/>
      <c r="T240" s="3"/>
      <c r="U240" s="3"/>
      <c r="V240" s="3"/>
      <c r="W240" s="3"/>
    </row>
    <row r="241" spans="1:23" x14ac:dyDescent="0.25">
      <c r="A241" s="3"/>
      <c r="B241" s="3"/>
      <c r="C241" s="3"/>
      <c r="D241" s="3" t="s">
        <v>249</v>
      </c>
      <c r="E241" s="3">
        <f>B243</f>
        <v>7609.64</v>
      </c>
      <c r="G241" s="3"/>
      <c r="H241" s="3"/>
      <c r="I241" s="3"/>
      <c r="J241" s="3" t="s">
        <v>249</v>
      </c>
      <c r="K241" s="3">
        <f>H243</f>
        <v>6790.3</v>
      </c>
      <c r="M241" s="3"/>
      <c r="N241" s="3"/>
      <c r="O241" s="3"/>
      <c r="P241" s="3" t="s">
        <v>249</v>
      </c>
      <c r="Q241" s="3">
        <f>N243</f>
        <v>8514.0400000000009</v>
      </c>
      <c r="S241" s="3"/>
      <c r="T241" s="3"/>
      <c r="U241" s="3"/>
      <c r="V241" s="3" t="s">
        <v>249</v>
      </c>
      <c r="W241" s="3">
        <f>T243</f>
        <v>15318</v>
      </c>
    </row>
    <row r="242" spans="1:23" x14ac:dyDescent="0.25">
      <c r="A242" s="3"/>
      <c r="B242" s="3"/>
      <c r="C242" s="3"/>
      <c r="D242" s="3" t="s">
        <v>250</v>
      </c>
      <c r="E242" s="3">
        <v>9629.2552631578947</v>
      </c>
      <c r="G242" s="3"/>
      <c r="H242" s="3"/>
      <c r="I242" s="3"/>
      <c r="J242" s="3" t="s">
        <v>250</v>
      </c>
      <c r="K242" s="3">
        <v>8281.6565789473698</v>
      </c>
      <c r="M242" s="3"/>
      <c r="N242" s="3"/>
      <c r="O242" s="3"/>
      <c r="P242" s="3" t="s">
        <v>250</v>
      </c>
      <c r="Q242" s="3">
        <v>11116.755263157896</v>
      </c>
      <c r="S242" s="3"/>
      <c r="T242" s="3"/>
      <c r="U242" s="3"/>
      <c r="V242" s="3" t="s">
        <v>250</v>
      </c>
      <c r="W242" s="3">
        <v>22307.478947368425</v>
      </c>
    </row>
    <row r="243" spans="1:23" x14ac:dyDescent="0.25">
      <c r="A243" s="3" t="s">
        <v>249</v>
      </c>
      <c r="B243" s="3">
        <f>3804.82*2</f>
        <v>7609.64</v>
      </c>
      <c r="C243" s="3"/>
      <c r="D243" s="3" t="s">
        <v>251</v>
      </c>
      <c r="E243" s="3">
        <f>E241+E242</f>
        <v>17238.895263157894</v>
      </c>
      <c r="G243" s="3" t="s">
        <v>249</v>
      </c>
      <c r="H243" s="3">
        <f>3395.15*2</f>
        <v>6790.3</v>
      </c>
      <c r="I243" s="3"/>
      <c r="J243" s="3" t="s">
        <v>251</v>
      </c>
      <c r="K243" s="3">
        <f>K241+K242</f>
        <v>15071.956578947371</v>
      </c>
      <c r="M243" s="3" t="s">
        <v>249</v>
      </c>
      <c r="N243" s="3">
        <f>4257.02*2</f>
        <v>8514.0400000000009</v>
      </c>
      <c r="O243" s="3"/>
      <c r="P243" s="3" t="s">
        <v>251</v>
      </c>
      <c r="Q243" s="3">
        <f>Q241+Q242</f>
        <v>19630.795263157896</v>
      </c>
      <c r="S243" s="3" t="s">
        <v>249</v>
      </c>
      <c r="T243" s="3">
        <f>7659*2</f>
        <v>15318</v>
      </c>
      <c r="U243" s="3"/>
      <c r="V243" s="3" t="s">
        <v>251</v>
      </c>
      <c r="W243" s="3">
        <f>W241+W242</f>
        <v>37625.478947368421</v>
      </c>
    </row>
    <row r="244" spans="1:23" x14ac:dyDescent="0.25">
      <c r="A244" s="3" t="s">
        <v>252</v>
      </c>
      <c r="B244" s="3">
        <v>5470.93</v>
      </c>
      <c r="C244" s="3"/>
      <c r="D244" s="3" t="s">
        <v>252</v>
      </c>
      <c r="E244" s="3">
        <v>13381.48</v>
      </c>
      <c r="G244" s="3" t="s">
        <v>252</v>
      </c>
      <c r="H244" s="3">
        <v>5470.93</v>
      </c>
      <c r="I244" s="3"/>
      <c r="J244" s="3" t="s">
        <v>252</v>
      </c>
      <c r="K244" s="3">
        <v>13381.48</v>
      </c>
      <c r="M244" s="3" t="s">
        <v>252</v>
      </c>
      <c r="N244" s="3">
        <v>5470.93</v>
      </c>
      <c r="O244" s="3"/>
      <c r="P244" s="3" t="s">
        <v>252</v>
      </c>
      <c r="Q244" s="3">
        <v>13381.48</v>
      </c>
      <c r="S244" s="3" t="s">
        <v>252</v>
      </c>
      <c r="T244" s="3">
        <v>13381.48</v>
      </c>
      <c r="U244" s="3"/>
      <c r="V244" s="3" t="s">
        <v>252</v>
      </c>
      <c r="W244" s="3">
        <v>26988.51</v>
      </c>
    </row>
    <row r="245" spans="1:23" x14ac:dyDescent="0.25">
      <c r="A245" s="3" t="s">
        <v>253</v>
      </c>
      <c r="B245" s="3">
        <f>B243-B244</f>
        <v>2138.71</v>
      </c>
      <c r="C245" s="3"/>
      <c r="D245" s="3" t="s">
        <v>253</v>
      </c>
      <c r="E245" s="3">
        <f>(E243-E244)</f>
        <v>3857.4152631578945</v>
      </c>
      <c r="G245" s="3" t="s">
        <v>253</v>
      </c>
      <c r="H245" s="3">
        <f>H243-H244</f>
        <v>1319.37</v>
      </c>
      <c r="I245" s="3"/>
      <c r="J245" s="3" t="s">
        <v>253</v>
      </c>
      <c r="K245" s="3">
        <f>(K243-K244)</f>
        <v>1690.4765789473713</v>
      </c>
      <c r="M245" s="3" t="s">
        <v>253</v>
      </c>
      <c r="N245" s="3">
        <f>N243-N244</f>
        <v>3043.1100000000006</v>
      </c>
      <c r="O245" s="3"/>
      <c r="P245" s="3" t="s">
        <v>253</v>
      </c>
      <c r="Q245" s="3">
        <f>(Q243-Q244)</f>
        <v>6249.315263157896</v>
      </c>
      <c r="S245" s="3" t="s">
        <v>253</v>
      </c>
      <c r="T245" s="3">
        <f>T243-T244</f>
        <v>1936.5200000000004</v>
      </c>
      <c r="U245" s="3"/>
      <c r="V245" s="3" t="s">
        <v>253</v>
      </c>
      <c r="W245" s="3">
        <f>(W243-W244)</f>
        <v>10636.968947368423</v>
      </c>
    </row>
    <row r="246" spans="1:23" x14ac:dyDescent="0.25">
      <c r="A246" s="3" t="s">
        <v>254</v>
      </c>
      <c r="B246" s="5">
        <v>0.10879999999999999</v>
      </c>
      <c r="C246" s="3"/>
      <c r="D246" s="3" t="s">
        <v>254</v>
      </c>
      <c r="E246" s="5">
        <v>0.21360000000000001</v>
      </c>
      <c r="G246" s="3" t="s">
        <v>254</v>
      </c>
      <c r="H246" s="5">
        <v>0.10879999999999999</v>
      </c>
      <c r="I246" s="3"/>
      <c r="J246" s="3" t="s">
        <v>254</v>
      </c>
      <c r="K246" s="5">
        <v>0.21360000000000001</v>
      </c>
      <c r="M246" s="3" t="s">
        <v>254</v>
      </c>
      <c r="N246" s="5">
        <v>0.10879999999999999</v>
      </c>
      <c r="O246" s="3"/>
      <c r="P246" s="3" t="s">
        <v>254</v>
      </c>
      <c r="Q246" s="5">
        <v>0.21360000000000001</v>
      </c>
      <c r="S246" s="3" t="s">
        <v>254</v>
      </c>
      <c r="T246" s="5">
        <v>0.21360000000000001</v>
      </c>
      <c r="U246" s="3"/>
      <c r="V246" s="3" t="s">
        <v>254</v>
      </c>
      <c r="W246" s="5">
        <v>0.23519999999999999</v>
      </c>
    </row>
    <row r="247" spans="1:23" x14ac:dyDescent="0.25">
      <c r="A247" s="3" t="s">
        <v>255</v>
      </c>
      <c r="B247" s="3">
        <f>B245*B246</f>
        <v>232.69164799999999</v>
      </c>
      <c r="C247" s="3"/>
      <c r="D247" s="3" t="s">
        <v>255</v>
      </c>
      <c r="E247" s="3">
        <f>(E245*E246)</f>
        <v>823.94390021052629</v>
      </c>
      <c r="G247" s="3" t="s">
        <v>255</v>
      </c>
      <c r="H247" s="3">
        <f>H245*H246</f>
        <v>143.54745599999998</v>
      </c>
      <c r="I247" s="3"/>
      <c r="J247" s="3" t="s">
        <v>255</v>
      </c>
      <c r="K247" s="3">
        <f>(K245*K246)</f>
        <v>361.08579726315855</v>
      </c>
      <c r="M247" s="3" t="s">
        <v>255</v>
      </c>
      <c r="N247" s="3">
        <f>N245*N246</f>
        <v>331.09036800000007</v>
      </c>
      <c r="O247" s="3"/>
      <c r="P247" s="3" t="s">
        <v>255</v>
      </c>
      <c r="Q247" s="3">
        <f>(Q245*Q246)</f>
        <v>1334.8537402105267</v>
      </c>
      <c r="S247" s="3" t="s">
        <v>255</v>
      </c>
      <c r="T247" s="3">
        <f>T245*T246</f>
        <v>413.64067200000011</v>
      </c>
      <c r="U247" s="3"/>
      <c r="V247" s="3" t="s">
        <v>255</v>
      </c>
      <c r="W247" s="3">
        <f>(W245*W246)</f>
        <v>2501.8150964210531</v>
      </c>
    </row>
    <row r="248" spans="1:23" x14ac:dyDescent="0.25">
      <c r="A248" s="3" t="s">
        <v>256</v>
      </c>
      <c r="B248" s="3">
        <v>321.26</v>
      </c>
      <c r="C248" s="3"/>
      <c r="D248" s="3" t="s">
        <v>256</v>
      </c>
      <c r="E248" s="3">
        <v>1417.12</v>
      </c>
      <c r="G248" s="3" t="s">
        <v>256</v>
      </c>
      <c r="H248" s="3">
        <v>321.26</v>
      </c>
      <c r="I248" s="3"/>
      <c r="J248" s="3" t="s">
        <v>256</v>
      </c>
      <c r="K248" s="3">
        <v>1417.12</v>
      </c>
      <c r="M248" s="3" t="s">
        <v>256</v>
      </c>
      <c r="N248" s="3">
        <v>321.26</v>
      </c>
      <c r="O248" s="3"/>
      <c r="P248" s="3" t="s">
        <v>256</v>
      </c>
      <c r="Q248" s="3">
        <v>1417.12</v>
      </c>
      <c r="S248" s="3" t="s">
        <v>256</v>
      </c>
      <c r="T248" s="3">
        <v>1417.12</v>
      </c>
      <c r="U248" s="3"/>
      <c r="V248" s="3" t="s">
        <v>256</v>
      </c>
      <c r="W248" s="3">
        <v>4323.58</v>
      </c>
    </row>
    <row r="249" spans="1:23" x14ac:dyDescent="0.25">
      <c r="A249" s="3" t="s">
        <v>257</v>
      </c>
      <c r="B249" s="3">
        <f>B247+B248</f>
        <v>553.95164799999998</v>
      </c>
      <c r="C249" s="3"/>
      <c r="D249" s="3" t="s">
        <v>257</v>
      </c>
      <c r="E249" s="3">
        <f>(E247+E248)</f>
        <v>2241.0639002105263</v>
      </c>
      <c r="G249" s="3" t="s">
        <v>257</v>
      </c>
      <c r="H249" s="3">
        <f>H247+H248</f>
        <v>464.807456</v>
      </c>
      <c r="I249" s="3"/>
      <c r="J249" s="3" t="s">
        <v>257</v>
      </c>
      <c r="K249" s="3">
        <f>(K247+K248)</f>
        <v>1778.2057972631585</v>
      </c>
      <c r="M249" s="3" t="s">
        <v>257</v>
      </c>
      <c r="N249" s="3">
        <f>N247+N248</f>
        <v>652.35036800000012</v>
      </c>
      <c r="O249" s="3"/>
      <c r="P249" s="3" t="s">
        <v>257</v>
      </c>
      <c r="Q249" s="3">
        <f>(Q247+Q248)</f>
        <v>2751.9737402105266</v>
      </c>
      <c r="S249" s="3" t="s">
        <v>257</v>
      </c>
      <c r="T249" s="3">
        <f>T247+T248</f>
        <v>1830.7606719999999</v>
      </c>
      <c r="U249" s="3"/>
      <c r="V249" s="3" t="s">
        <v>257</v>
      </c>
      <c r="W249" s="3">
        <f>(W247+W248)</f>
        <v>6825.3950964210526</v>
      </c>
    </row>
    <row r="250" spans="1:23" x14ac:dyDescent="0.25">
      <c r="A250" s="3" t="s">
        <v>258</v>
      </c>
      <c r="B250" s="3"/>
      <c r="C250" s="3"/>
      <c r="D250" s="3" t="s">
        <v>258</v>
      </c>
      <c r="E250" s="3"/>
      <c r="G250" s="3" t="s">
        <v>258</v>
      </c>
      <c r="H250" s="3"/>
      <c r="I250" s="3"/>
      <c r="J250" s="3" t="s">
        <v>258</v>
      </c>
      <c r="K250" s="3"/>
      <c r="M250" s="3" t="s">
        <v>258</v>
      </c>
      <c r="N250" s="3"/>
      <c r="O250" s="3"/>
      <c r="P250" s="3" t="s">
        <v>258</v>
      </c>
      <c r="Q250" s="3"/>
      <c r="S250" s="3" t="s">
        <v>258</v>
      </c>
      <c r="T250" s="3"/>
      <c r="U250" s="3"/>
      <c r="V250" s="3" t="s">
        <v>258</v>
      </c>
      <c r="W250" s="3"/>
    </row>
    <row r="251" spans="1:23" x14ac:dyDescent="0.25">
      <c r="A251" s="3" t="s">
        <v>259</v>
      </c>
      <c r="B251" s="3">
        <f>(B249-B250)</f>
        <v>553.95164799999998</v>
      </c>
      <c r="C251" s="3"/>
      <c r="D251" s="3" t="s">
        <v>259</v>
      </c>
      <c r="E251" s="3">
        <f>(E249-E250)</f>
        <v>2241.0639002105263</v>
      </c>
      <c r="G251" s="3" t="s">
        <v>259</v>
      </c>
      <c r="H251" s="3">
        <f>(H249-H250)</f>
        <v>464.807456</v>
      </c>
      <c r="I251" s="3"/>
      <c r="J251" s="3" t="s">
        <v>259</v>
      </c>
      <c r="K251" s="3">
        <f>(K249-K250)</f>
        <v>1778.2057972631585</v>
      </c>
      <c r="M251" s="3" t="s">
        <v>259</v>
      </c>
      <c r="N251" s="3">
        <f>(N249-N250)</f>
        <v>652.35036800000012</v>
      </c>
      <c r="O251" s="3"/>
      <c r="P251" s="3" t="s">
        <v>259</v>
      </c>
      <c r="Q251" s="3">
        <f>(Q249-Q250)</f>
        <v>2751.9737402105266</v>
      </c>
      <c r="S251" s="3" t="s">
        <v>259</v>
      </c>
      <c r="T251" s="3">
        <f>(T249-T250)</f>
        <v>1830.7606719999999</v>
      </c>
      <c r="U251" s="3"/>
      <c r="V251" s="3" t="s">
        <v>259</v>
      </c>
      <c r="W251" s="3">
        <f>(W249-W250)</f>
        <v>6825.3950964210526</v>
      </c>
    </row>
    <row r="252" spans="1:23" x14ac:dyDescent="0.25">
      <c r="A252" s="3"/>
      <c r="B252" s="3"/>
      <c r="C252" s="3"/>
      <c r="D252" s="3"/>
      <c r="E252" s="3"/>
      <c r="G252" s="3"/>
      <c r="H252" s="3"/>
      <c r="I252" s="3"/>
      <c r="J252" s="3"/>
      <c r="K252" s="3"/>
      <c r="M252" s="3"/>
      <c r="N252" s="3"/>
      <c r="O252" s="3"/>
      <c r="P252" s="3"/>
      <c r="Q252" s="3"/>
      <c r="S252" s="3"/>
      <c r="T252" s="3"/>
      <c r="U252" s="3"/>
      <c r="V252" s="3"/>
      <c r="W252" s="3"/>
    </row>
    <row r="253" spans="1:23" x14ac:dyDescent="0.25">
      <c r="A253" s="3"/>
      <c r="B253" s="3"/>
      <c r="C253" s="3"/>
      <c r="D253" s="3" t="s">
        <v>260</v>
      </c>
      <c r="E253" s="3">
        <f>E251-B251</f>
        <v>1687.1122522105263</v>
      </c>
      <c r="G253" s="3"/>
      <c r="H253" s="3"/>
      <c r="I253" s="3"/>
      <c r="J253" s="3" t="s">
        <v>260</v>
      </c>
      <c r="K253" s="3">
        <f>K251-H251</f>
        <v>1313.3983412631585</v>
      </c>
      <c r="M253" s="3"/>
      <c r="N253" s="3"/>
      <c r="O253" s="3"/>
      <c r="P253" s="3" t="s">
        <v>260</v>
      </c>
      <c r="Q253" s="3">
        <f>Q251-N251</f>
        <v>2099.6233722105262</v>
      </c>
      <c r="S253" s="3"/>
      <c r="T253" s="3"/>
      <c r="U253" s="3"/>
      <c r="V253" s="3" t="s">
        <v>260</v>
      </c>
      <c r="W253" s="3">
        <f>W251-T251</f>
        <v>4994.6344244210522</v>
      </c>
    </row>
    <row r="256" spans="1:23" ht="18.75" x14ac:dyDescent="0.3">
      <c r="A256" s="95" t="s">
        <v>360</v>
      </c>
      <c r="B256" s="96"/>
      <c r="C256" s="3"/>
      <c r="D256" s="96"/>
      <c r="E256" s="96"/>
      <c r="G256" s="95" t="s">
        <v>361</v>
      </c>
      <c r="H256" s="96"/>
      <c r="I256" s="3"/>
      <c r="J256" s="96"/>
      <c r="K256" s="96"/>
      <c r="M256" s="95" t="s">
        <v>362</v>
      </c>
      <c r="N256" s="96"/>
      <c r="O256" s="3"/>
      <c r="P256" s="96"/>
      <c r="Q256" s="96"/>
      <c r="S256" s="95" t="s">
        <v>363</v>
      </c>
      <c r="T256" s="96"/>
      <c r="U256" s="3"/>
      <c r="V256" s="96"/>
      <c r="W256" s="96"/>
    </row>
    <row r="257" spans="1:23" x14ac:dyDescent="0.25">
      <c r="A257" s="3"/>
      <c r="B257" s="3"/>
      <c r="C257" s="3"/>
      <c r="D257" s="3"/>
      <c r="E257" s="3"/>
      <c r="G257" s="3"/>
      <c r="H257" s="3"/>
      <c r="I257" s="3"/>
      <c r="J257" s="3"/>
      <c r="K257" s="3"/>
      <c r="M257" s="3"/>
      <c r="N257" s="3"/>
      <c r="O257" s="3"/>
      <c r="P257" s="3"/>
      <c r="Q257" s="3"/>
      <c r="S257" s="3"/>
      <c r="T257" s="3"/>
      <c r="U257" s="3"/>
      <c r="V257" s="3"/>
      <c r="W257" s="3"/>
    </row>
    <row r="258" spans="1:23" x14ac:dyDescent="0.25">
      <c r="A258" s="3"/>
      <c r="B258" s="3"/>
      <c r="C258" s="3"/>
      <c r="D258" s="3" t="s">
        <v>249</v>
      </c>
      <c r="E258" s="3">
        <f>B260</f>
        <v>8514</v>
      </c>
      <c r="G258" s="3"/>
      <c r="H258" s="3"/>
      <c r="I258" s="3"/>
      <c r="J258" s="3" t="s">
        <v>249</v>
      </c>
      <c r="K258" s="3">
        <f>H260</f>
        <v>8760.9</v>
      </c>
      <c r="M258" s="3"/>
      <c r="N258" s="3"/>
      <c r="O258" s="3"/>
      <c r="P258" s="3" t="s">
        <v>249</v>
      </c>
      <c r="Q258" s="3">
        <f>N260</f>
        <v>8505.02</v>
      </c>
      <c r="S258" s="3"/>
      <c r="T258" s="3"/>
      <c r="U258" s="3"/>
      <c r="V258" s="3" t="s">
        <v>249</v>
      </c>
      <c r="W258" s="3">
        <f>T260</f>
        <v>8606.02</v>
      </c>
    </row>
    <row r="259" spans="1:23" x14ac:dyDescent="0.25">
      <c r="A259" s="3"/>
      <c r="B259" s="3"/>
      <c r="C259" s="3"/>
      <c r="D259" s="3" t="s">
        <v>250</v>
      </c>
      <c r="E259" s="3">
        <v>11116.755263157896</v>
      </c>
      <c r="G259" s="3"/>
      <c r="H259" s="3"/>
      <c r="I259" s="3"/>
      <c r="J259" s="3" t="s">
        <v>250</v>
      </c>
      <c r="K259" s="3">
        <v>11522.775</v>
      </c>
      <c r="M259" s="3"/>
      <c r="N259" s="3"/>
      <c r="O259" s="3"/>
      <c r="P259" s="3" t="s">
        <v>250</v>
      </c>
      <c r="Q259" s="3">
        <v>11101.919736842106</v>
      </c>
      <c r="S259" s="3"/>
      <c r="T259" s="3"/>
      <c r="U259" s="3"/>
      <c r="V259" s="3" t="s">
        <v>250</v>
      </c>
      <c r="W259" s="3">
        <v>11268.038157894736</v>
      </c>
    </row>
    <row r="260" spans="1:23" x14ac:dyDescent="0.25">
      <c r="A260" s="3" t="s">
        <v>249</v>
      </c>
      <c r="B260" s="3">
        <f>4257*2</f>
        <v>8514</v>
      </c>
      <c r="C260" s="3"/>
      <c r="D260" s="3" t="s">
        <v>251</v>
      </c>
      <c r="E260" s="3">
        <f>E258+E259</f>
        <v>19630.755263157895</v>
      </c>
      <c r="G260" s="3" t="s">
        <v>249</v>
      </c>
      <c r="H260" s="3">
        <f>4380.45*2</f>
        <v>8760.9</v>
      </c>
      <c r="I260" s="3"/>
      <c r="J260" s="3" t="s">
        <v>251</v>
      </c>
      <c r="K260" s="3">
        <f>K258+K259</f>
        <v>20283.674999999999</v>
      </c>
      <c r="M260" s="3" t="s">
        <v>249</v>
      </c>
      <c r="N260" s="3">
        <f>4252.51*2</f>
        <v>8505.02</v>
      </c>
      <c r="O260" s="3"/>
      <c r="P260" s="3" t="s">
        <v>251</v>
      </c>
      <c r="Q260" s="3">
        <f>Q258+Q259</f>
        <v>19606.939736842105</v>
      </c>
      <c r="S260" s="3" t="s">
        <v>249</v>
      </c>
      <c r="T260" s="3">
        <f>4303.01*2</f>
        <v>8606.02</v>
      </c>
      <c r="U260" s="3"/>
      <c r="V260" s="3" t="s">
        <v>251</v>
      </c>
      <c r="W260" s="3">
        <f>W258+W259</f>
        <v>19874.058157894739</v>
      </c>
    </row>
    <row r="261" spans="1:23" x14ac:dyDescent="0.25">
      <c r="A261" s="3" t="s">
        <v>252</v>
      </c>
      <c r="B261" s="3">
        <v>5470.93</v>
      </c>
      <c r="C261" s="3"/>
      <c r="D261" s="3" t="s">
        <v>252</v>
      </c>
      <c r="E261" s="3">
        <v>13381.48</v>
      </c>
      <c r="G261" s="3" t="s">
        <v>252</v>
      </c>
      <c r="H261" s="3">
        <v>5470.93</v>
      </c>
      <c r="I261" s="3"/>
      <c r="J261" s="3" t="s">
        <v>252</v>
      </c>
      <c r="K261" s="3">
        <v>13381.48</v>
      </c>
      <c r="M261" s="3" t="s">
        <v>252</v>
      </c>
      <c r="N261" s="3">
        <v>5470.93</v>
      </c>
      <c r="O261" s="3"/>
      <c r="P261" s="3" t="s">
        <v>252</v>
      </c>
      <c r="Q261" s="3">
        <v>13381.48</v>
      </c>
      <c r="S261" s="3" t="s">
        <v>252</v>
      </c>
      <c r="T261" s="3">
        <v>5470.93</v>
      </c>
      <c r="U261" s="3"/>
      <c r="V261" s="3" t="s">
        <v>252</v>
      </c>
      <c r="W261" s="3">
        <v>13381.48</v>
      </c>
    </row>
    <row r="262" spans="1:23" x14ac:dyDescent="0.25">
      <c r="A262" s="3" t="s">
        <v>253</v>
      </c>
      <c r="B262" s="3">
        <f>B260-B261</f>
        <v>3043.0699999999997</v>
      </c>
      <c r="C262" s="3"/>
      <c r="D262" s="3" t="s">
        <v>253</v>
      </c>
      <c r="E262" s="3">
        <f>(E260-E261)</f>
        <v>6249.2752631578951</v>
      </c>
      <c r="G262" s="3" t="s">
        <v>253</v>
      </c>
      <c r="H262" s="3">
        <f>H260-H261</f>
        <v>3289.9699999999993</v>
      </c>
      <c r="I262" s="3"/>
      <c r="J262" s="3" t="s">
        <v>253</v>
      </c>
      <c r="K262" s="3">
        <f>(K260-K261)</f>
        <v>6902.1949999999997</v>
      </c>
      <c r="M262" s="3" t="s">
        <v>253</v>
      </c>
      <c r="N262" s="3">
        <f>N260-N261</f>
        <v>3034.09</v>
      </c>
      <c r="O262" s="3"/>
      <c r="P262" s="3" t="s">
        <v>253</v>
      </c>
      <c r="Q262" s="3">
        <f>(Q260-Q261)</f>
        <v>6225.4597368421055</v>
      </c>
      <c r="S262" s="3" t="s">
        <v>253</v>
      </c>
      <c r="T262" s="3">
        <f>T260-T261</f>
        <v>3135.09</v>
      </c>
      <c r="U262" s="3"/>
      <c r="V262" s="3" t="s">
        <v>253</v>
      </c>
      <c r="W262" s="3">
        <f>(W260-W261)</f>
        <v>6492.578157894739</v>
      </c>
    </row>
    <row r="263" spans="1:23" x14ac:dyDescent="0.25">
      <c r="A263" s="3" t="s">
        <v>254</v>
      </c>
      <c r="B263" s="5">
        <v>0.10879999999999999</v>
      </c>
      <c r="C263" s="3"/>
      <c r="D263" s="3" t="s">
        <v>254</v>
      </c>
      <c r="E263" s="5">
        <v>0.21360000000000001</v>
      </c>
      <c r="G263" s="3" t="s">
        <v>254</v>
      </c>
      <c r="H263" s="5">
        <v>0.10879999999999999</v>
      </c>
      <c r="I263" s="3"/>
      <c r="J263" s="3" t="s">
        <v>254</v>
      </c>
      <c r="K263" s="5">
        <v>0.21360000000000001</v>
      </c>
      <c r="M263" s="3" t="s">
        <v>254</v>
      </c>
      <c r="N263" s="5">
        <v>0.10879999999999999</v>
      </c>
      <c r="O263" s="3"/>
      <c r="P263" s="3" t="s">
        <v>254</v>
      </c>
      <c r="Q263" s="5">
        <v>0.21360000000000001</v>
      </c>
      <c r="S263" s="3" t="s">
        <v>254</v>
      </c>
      <c r="T263" s="5">
        <v>0.10879999999999999</v>
      </c>
      <c r="U263" s="3"/>
      <c r="V263" s="3" t="s">
        <v>254</v>
      </c>
      <c r="W263" s="5">
        <v>0.21360000000000001</v>
      </c>
    </row>
    <row r="264" spans="1:23" x14ac:dyDescent="0.25">
      <c r="A264" s="3" t="s">
        <v>255</v>
      </c>
      <c r="B264" s="3">
        <f>B262*B263</f>
        <v>331.08601599999997</v>
      </c>
      <c r="C264" s="3"/>
      <c r="D264" s="3" t="s">
        <v>255</v>
      </c>
      <c r="E264" s="3">
        <f>(E262*E263)</f>
        <v>1334.8451962105264</v>
      </c>
      <c r="G264" s="3" t="s">
        <v>255</v>
      </c>
      <c r="H264" s="3">
        <f>H262*H263</f>
        <v>357.94873599999988</v>
      </c>
      <c r="I264" s="3"/>
      <c r="J264" s="3" t="s">
        <v>255</v>
      </c>
      <c r="K264" s="3">
        <f>(K262*K263)</f>
        <v>1474.3088520000001</v>
      </c>
      <c r="M264" s="3" t="s">
        <v>255</v>
      </c>
      <c r="N264" s="3">
        <f>N262*N263</f>
        <v>330.108992</v>
      </c>
      <c r="O264" s="3"/>
      <c r="P264" s="3" t="s">
        <v>255</v>
      </c>
      <c r="Q264" s="3">
        <f>(Q262*Q263)</f>
        <v>1329.7581997894738</v>
      </c>
      <c r="S264" s="3" t="s">
        <v>255</v>
      </c>
      <c r="T264" s="3">
        <f>T262*T263</f>
        <v>341.09779199999997</v>
      </c>
      <c r="U264" s="3"/>
      <c r="V264" s="3" t="s">
        <v>255</v>
      </c>
      <c r="W264" s="3">
        <f>(W262*W263)</f>
        <v>1386.8146945263163</v>
      </c>
    </row>
    <row r="265" spans="1:23" x14ac:dyDescent="0.25">
      <c r="A265" s="3" t="s">
        <v>256</v>
      </c>
      <c r="B265" s="3">
        <v>321.26</v>
      </c>
      <c r="C265" s="3"/>
      <c r="D265" s="3" t="s">
        <v>256</v>
      </c>
      <c r="E265" s="3">
        <v>1417.12</v>
      </c>
      <c r="G265" s="3" t="s">
        <v>256</v>
      </c>
      <c r="H265" s="3">
        <v>321.26</v>
      </c>
      <c r="I265" s="3"/>
      <c r="J265" s="3" t="s">
        <v>256</v>
      </c>
      <c r="K265" s="3">
        <v>1417.12</v>
      </c>
      <c r="M265" s="3" t="s">
        <v>256</v>
      </c>
      <c r="N265" s="3">
        <v>321.26</v>
      </c>
      <c r="O265" s="3"/>
      <c r="P265" s="3" t="s">
        <v>256</v>
      </c>
      <c r="Q265" s="3">
        <v>1417.12</v>
      </c>
      <c r="S265" s="3" t="s">
        <v>256</v>
      </c>
      <c r="T265" s="3">
        <v>321.26</v>
      </c>
      <c r="U265" s="3"/>
      <c r="V265" s="3" t="s">
        <v>256</v>
      </c>
      <c r="W265" s="3">
        <v>1417.12</v>
      </c>
    </row>
    <row r="266" spans="1:23" x14ac:dyDescent="0.25">
      <c r="A266" s="3" t="s">
        <v>257</v>
      </c>
      <c r="B266" s="3">
        <f>B264+B265</f>
        <v>652.34601599999996</v>
      </c>
      <c r="C266" s="3"/>
      <c r="D266" s="3" t="s">
        <v>257</v>
      </c>
      <c r="E266" s="3">
        <f>(E264+E265)</f>
        <v>2751.9651962105263</v>
      </c>
      <c r="G266" s="3" t="s">
        <v>257</v>
      </c>
      <c r="H266" s="3">
        <f>H264+H265</f>
        <v>679.20873599999982</v>
      </c>
      <c r="I266" s="3"/>
      <c r="J266" s="3" t="s">
        <v>257</v>
      </c>
      <c r="K266" s="3">
        <f>(K264+K265)</f>
        <v>2891.428852</v>
      </c>
      <c r="M266" s="3" t="s">
        <v>257</v>
      </c>
      <c r="N266" s="3">
        <f>N264+N265</f>
        <v>651.36899199999993</v>
      </c>
      <c r="O266" s="3"/>
      <c r="P266" s="3" t="s">
        <v>257</v>
      </c>
      <c r="Q266" s="3">
        <f>(Q264+Q265)</f>
        <v>2746.8781997894739</v>
      </c>
      <c r="S266" s="3" t="s">
        <v>257</v>
      </c>
      <c r="T266" s="3">
        <f>T264+T265</f>
        <v>662.35779200000002</v>
      </c>
      <c r="U266" s="3"/>
      <c r="V266" s="3" t="s">
        <v>257</v>
      </c>
      <c r="W266" s="3">
        <f>(W264+W265)</f>
        <v>2803.934694526316</v>
      </c>
    </row>
    <row r="267" spans="1:23" x14ac:dyDescent="0.25">
      <c r="A267" s="3" t="s">
        <v>258</v>
      </c>
      <c r="B267" s="3"/>
      <c r="C267" s="3"/>
      <c r="D267" s="3" t="s">
        <v>258</v>
      </c>
      <c r="E267" s="3"/>
      <c r="G267" s="3" t="s">
        <v>258</v>
      </c>
      <c r="H267" s="3"/>
      <c r="I267" s="3"/>
      <c r="J267" s="3" t="s">
        <v>258</v>
      </c>
      <c r="K267" s="3"/>
      <c r="M267" s="3" t="s">
        <v>258</v>
      </c>
      <c r="N267" s="3"/>
      <c r="O267" s="3"/>
      <c r="P267" s="3" t="s">
        <v>258</v>
      </c>
      <c r="Q267" s="3"/>
      <c r="S267" s="3" t="s">
        <v>258</v>
      </c>
      <c r="T267" s="3"/>
      <c r="U267" s="3"/>
      <c r="V267" s="3" t="s">
        <v>258</v>
      </c>
      <c r="W267" s="3"/>
    </row>
    <row r="268" spans="1:23" x14ac:dyDescent="0.25">
      <c r="A268" s="3" t="s">
        <v>259</v>
      </c>
      <c r="B268" s="3">
        <f>(B266-B267)</f>
        <v>652.34601599999996</v>
      </c>
      <c r="C268" s="3"/>
      <c r="D268" s="3" t="s">
        <v>259</v>
      </c>
      <c r="E268" s="3">
        <f>(E266-E267)</f>
        <v>2751.9651962105263</v>
      </c>
      <c r="G268" s="3" t="s">
        <v>259</v>
      </c>
      <c r="H268" s="3">
        <f>(H266-H267)</f>
        <v>679.20873599999982</v>
      </c>
      <c r="I268" s="3"/>
      <c r="J268" s="3" t="s">
        <v>259</v>
      </c>
      <c r="K268" s="3">
        <f>(K266-K267)</f>
        <v>2891.428852</v>
      </c>
      <c r="M268" s="3" t="s">
        <v>259</v>
      </c>
      <c r="N268" s="3">
        <f>(N266-N267)</f>
        <v>651.36899199999993</v>
      </c>
      <c r="O268" s="3"/>
      <c r="P268" s="3" t="s">
        <v>259</v>
      </c>
      <c r="Q268" s="3">
        <f>(Q266-Q267)</f>
        <v>2746.8781997894739</v>
      </c>
      <c r="S268" s="3" t="s">
        <v>259</v>
      </c>
      <c r="T268" s="3">
        <f>(T266-T267)</f>
        <v>662.35779200000002</v>
      </c>
      <c r="U268" s="3"/>
      <c r="V268" s="3" t="s">
        <v>259</v>
      </c>
      <c r="W268" s="3">
        <f>(W266-W267)</f>
        <v>2803.934694526316</v>
      </c>
    </row>
    <row r="269" spans="1:23" x14ac:dyDescent="0.25">
      <c r="A269" s="3"/>
      <c r="B269" s="3"/>
      <c r="C269" s="3"/>
      <c r="D269" s="3"/>
      <c r="E269" s="3"/>
      <c r="G269" s="3"/>
      <c r="H269" s="3"/>
      <c r="I269" s="3"/>
      <c r="J269" s="3"/>
      <c r="K269" s="3"/>
      <c r="M269" s="3"/>
      <c r="N269" s="3"/>
      <c r="O269" s="3"/>
      <c r="P269" s="3"/>
      <c r="Q269" s="3"/>
      <c r="S269" s="3"/>
      <c r="T269" s="3"/>
      <c r="U269" s="3"/>
      <c r="V269" s="3"/>
      <c r="W269" s="3"/>
    </row>
    <row r="270" spans="1:23" x14ac:dyDescent="0.25">
      <c r="A270" s="3"/>
      <c r="B270" s="3"/>
      <c r="C270" s="3"/>
      <c r="D270" s="3" t="s">
        <v>260</v>
      </c>
      <c r="E270" s="3">
        <f>E268-B268</f>
        <v>2099.6191802105263</v>
      </c>
      <c r="G270" s="3"/>
      <c r="H270" s="3"/>
      <c r="I270" s="3"/>
      <c r="J270" s="3" t="s">
        <v>260</v>
      </c>
      <c r="K270" s="3">
        <f>K268-H268</f>
        <v>2212.2201160000004</v>
      </c>
      <c r="M270" s="3"/>
      <c r="N270" s="3"/>
      <c r="O270" s="3"/>
      <c r="P270" s="3" t="s">
        <v>260</v>
      </c>
      <c r="Q270" s="3">
        <f>Q268-N268</f>
        <v>2095.5092077894742</v>
      </c>
      <c r="S270" s="3"/>
      <c r="T270" s="3"/>
      <c r="U270" s="3"/>
      <c r="V270" s="3" t="s">
        <v>260</v>
      </c>
      <c r="W270" s="3">
        <f>W268-T268</f>
        <v>2141.5769025263162</v>
      </c>
    </row>
    <row r="273" spans="1:23" ht="18.75" x14ac:dyDescent="0.3">
      <c r="A273" s="95" t="s">
        <v>364</v>
      </c>
      <c r="B273" s="96"/>
      <c r="C273" s="3"/>
      <c r="D273" s="96"/>
      <c r="E273" s="96"/>
      <c r="G273" s="95" t="s">
        <v>365</v>
      </c>
      <c r="H273" s="96"/>
      <c r="I273" s="3"/>
      <c r="J273" s="96"/>
      <c r="K273" s="96"/>
      <c r="M273" s="95" t="s">
        <v>366</v>
      </c>
      <c r="N273" s="96"/>
      <c r="O273" s="3"/>
      <c r="P273" s="96"/>
      <c r="Q273" s="96"/>
      <c r="S273" s="95" t="s">
        <v>367</v>
      </c>
      <c r="T273" s="96"/>
      <c r="U273" s="3"/>
      <c r="V273" s="96"/>
      <c r="W273" s="96"/>
    </row>
    <row r="274" spans="1:23" x14ac:dyDescent="0.25">
      <c r="A274" s="3"/>
      <c r="B274" s="3"/>
      <c r="C274" s="3"/>
      <c r="D274" s="3"/>
      <c r="E274" s="3"/>
      <c r="G274" s="3"/>
      <c r="H274" s="3"/>
      <c r="I274" s="3"/>
      <c r="J274" s="3"/>
      <c r="K274" s="3"/>
      <c r="M274" s="3"/>
      <c r="N274" s="3"/>
      <c r="O274" s="3"/>
      <c r="P274" s="3"/>
      <c r="Q274" s="3"/>
      <c r="S274" s="3"/>
      <c r="T274" s="3"/>
      <c r="U274" s="3"/>
      <c r="V274" s="3"/>
      <c r="W274" s="3"/>
    </row>
    <row r="275" spans="1:23" x14ac:dyDescent="0.25">
      <c r="A275" s="3"/>
      <c r="B275" s="3"/>
      <c r="C275" s="3"/>
      <c r="D275" s="3" t="s">
        <v>249</v>
      </c>
      <c r="E275" s="3">
        <f>B277</f>
        <v>6696</v>
      </c>
      <c r="G275" s="3"/>
      <c r="H275" s="3"/>
      <c r="I275" s="3"/>
      <c r="J275" s="3" t="s">
        <v>249</v>
      </c>
      <c r="K275" s="3">
        <f>H277</f>
        <v>5000</v>
      </c>
      <c r="M275" s="3"/>
      <c r="N275" s="3"/>
      <c r="O275" s="3"/>
      <c r="P275" s="3" t="s">
        <v>249</v>
      </c>
      <c r="Q275" s="3">
        <f>N277</f>
        <v>5380</v>
      </c>
      <c r="S275" s="3"/>
      <c r="T275" s="3"/>
      <c r="U275" s="3"/>
      <c r="V275" s="3" t="s">
        <v>249</v>
      </c>
      <c r="W275" s="3">
        <f>T277</f>
        <v>6714</v>
      </c>
    </row>
    <row r="276" spans="1:23" x14ac:dyDescent="0.25">
      <c r="A276" s="3"/>
      <c r="B276" s="3"/>
      <c r="C276" s="3"/>
      <c r="D276" s="3" t="s">
        <v>250</v>
      </c>
      <c r="E276" s="3">
        <v>8126.5578947368413</v>
      </c>
      <c r="G276" s="3"/>
      <c r="H276" s="3"/>
      <c r="I276" s="3"/>
      <c r="J276" s="3" t="s">
        <v>250</v>
      </c>
      <c r="K276" s="3">
        <v>5337.0842105263164</v>
      </c>
      <c r="M276" s="3"/>
      <c r="N276" s="3"/>
      <c r="O276" s="3"/>
      <c r="P276" s="3" t="s">
        <v>250</v>
      </c>
      <c r="Q276" s="3">
        <v>5962.0842105263164</v>
      </c>
      <c r="S276" s="3"/>
      <c r="T276" s="3"/>
      <c r="U276" s="3"/>
      <c r="V276" s="3" t="s">
        <v>250</v>
      </c>
      <c r="W276" s="3">
        <v>8156.1631578947363</v>
      </c>
    </row>
    <row r="277" spans="1:23" x14ac:dyDescent="0.25">
      <c r="A277" s="3" t="s">
        <v>249</v>
      </c>
      <c r="B277" s="3">
        <f>3348*2</f>
        <v>6696</v>
      </c>
      <c r="C277" s="3"/>
      <c r="D277" s="3" t="s">
        <v>251</v>
      </c>
      <c r="E277" s="3">
        <f>E275+E276</f>
        <v>14822.557894736841</v>
      </c>
      <c r="G277" s="3" t="s">
        <v>249</v>
      </c>
      <c r="H277" s="3">
        <f>2500*2</f>
        <v>5000</v>
      </c>
      <c r="I277" s="3"/>
      <c r="J277" s="3" t="s">
        <v>251</v>
      </c>
      <c r="K277" s="3">
        <f>K275+K276</f>
        <v>10337.084210526316</v>
      </c>
      <c r="M277" s="3" t="s">
        <v>249</v>
      </c>
      <c r="N277" s="3">
        <f>2690*2</f>
        <v>5380</v>
      </c>
      <c r="O277" s="3"/>
      <c r="P277" s="3" t="s">
        <v>251</v>
      </c>
      <c r="Q277" s="3">
        <f>Q275+Q276</f>
        <v>11342.084210526316</v>
      </c>
      <c r="S277" s="3" t="s">
        <v>249</v>
      </c>
      <c r="T277" s="3">
        <f>3357*2</f>
        <v>6714</v>
      </c>
      <c r="U277" s="3"/>
      <c r="V277" s="3" t="s">
        <v>251</v>
      </c>
      <c r="W277" s="3">
        <f>W275+W276</f>
        <v>14870.163157894736</v>
      </c>
    </row>
    <row r="278" spans="1:23" x14ac:dyDescent="0.25">
      <c r="A278" s="3" t="s">
        <v>252</v>
      </c>
      <c r="B278" s="3">
        <v>5470.93</v>
      </c>
      <c r="C278" s="3"/>
      <c r="D278" s="3" t="s">
        <v>252</v>
      </c>
      <c r="E278" s="3">
        <v>13381.48</v>
      </c>
      <c r="G278" s="3" t="s">
        <v>252</v>
      </c>
      <c r="H278" s="3">
        <v>644.59</v>
      </c>
      <c r="I278" s="3"/>
      <c r="J278" s="3" t="s">
        <v>252</v>
      </c>
      <c r="K278" s="3">
        <v>9614.67</v>
      </c>
      <c r="M278" s="3" t="s">
        <v>252</v>
      </c>
      <c r="N278" s="3">
        <v>644.59</v>
      </c>
      <c r="O278" s="3"/>
      <c r="P278" s="3" t="s">
        <v>252</v>
      </c>
      <c r="Q278" s="3">
        <v>11176.63</v>
      </c>
      <c r="S278" s="3" t="s">
        <v>252</v>
      </c>
      <c r="T278" s="3">
        <v>5470.93</v>
      </c>
      <c r="U278" s="3"/>
      <c r="V278" s="3" t="s">
        <v>252</v>
      </c>
      <c r="W278" s="3">
        <v>13381.48</v>
      </c>
    </row>
    <row r="279" spans="1:23" x14ac:dyDescent="0.25">
      <c r="A279" s="3" t="s">
        <v>253</v>
      </c>
      <c r="B279" s="3">
        <f>B277-B278</f>
        <v>1225.0699999999997</v>
      </c>
      <c r="C279" s="3"/>
      <c r="D279" s="3" t="s">
        <v>253</v>
      </c>
      <c r="E279" s="3">
        <f>(E277-E278)</f>
        <v>1441.0778947368417</v>
      </c>
      <c r="G279" s="3" t="s">
        <v>253</v>
      </c>
      <c r="H279" s="3">
        <f>H277-H278</f>
        <v>4355.41</v>
      </c>
      <c r="I279" s="3"/>
      <c r="J279" s="3" t="s">
        <v>253</v>
      </c>
      <c r="K279" s="3">
        <f>(K277-K278)</f>
        <v>722.41421052631631</v>
      </c>
      <c r="M279" s="3" t="s">
        <v>253</v>
      </c>
      <c r="N279" s="3">
        <f>N277-N278</f>
        <v>4735.41</v>
      </c>
      <c r="O279" s="3"/>
      <c r="P279" s="3" t="s">
        <v>253</v>
      </c>
      <c r="Q279" s="3">
        <f>(Q277-Q278)</f>
        <v>165.45421052631718</v>
      </c>
      <c r="S279" s="3" t="s">
        <v>253</v>
      </c>
      <c r="T279" s="3">
        <f>T277-T278</f>
        <v>1243.0699999999997</v>
      </c>
      <c r="U279" s="3"/>
      <c r="V279" s="3" t="s">
        <v>253</v>
      </c>
      <c r="W279" s="3">
        <f>(W277-W278)</f>
        <v>1488.6831578947367</v>
      </c>
    </row>
    <row r="280" spans="1:23" x14ac:dyDescent="0.25">
      <c r="A280" s="3" t="s">
        <v>254</v>
      </c>
      <c r="B280" s="5">
        <v>0.10879999999999999</v>
      </c>
      <c r="C280" s="3"/>
      <c r="D280" s="3" t="s">
        <v>254</v>
      </c>
      <c r="E280" s="5">
        <v>0.21360000000000001</v>
      </c>
      <c r="G280" s="3" t="s">
        <v>254</v>
      </c>
      <c r="H280" s="5">
        <v>6.4000000000000001E-2</v>
      </c>
      <c r="I280" s="3"/>
      <c r="J280" s="3" t="s">
        <v>254</v>
      </c>
      <c r="K280" s="5">
        <v>0.16</v>
      </c>
      <c r="M280" s="3" t="s">
        <v>254</v>
      </c>
      <c r="N280" s="5">
        <v>6.4000000000000001E-2</v>
      </c>
      <c r="O280" s="3"/>
      <c r="P280" s="3" t="s">
        <v>254</v>
      </c>
      <c r="Q280" s="5">
        <v>0.1792</v>
      </c>
      <c r="S280" s="3" t="s">
        <v>254</v>
      </c>
      <c r="T280" s="5">
        <v>0.10879999999999999</v>
      </c>
      <c r="U280" s="3"/>
      <c r="V280" s="3" t="s">
        <v>254</v>
      </c>
      <c r="W280" s="5">
        <v>0.21360000000000001</v>
      </c>
    </row>
    <row r="281" spans="1:23" x14ac:dyDescent="0.25">
      <c r="A281" s="3" t="s">
        <v>255</v>
      </c>
      <c r="B281" s="3">
        <f>B279*B280</f>
        <v>133.28761599999996</v>
      </c>
      <c r="C281" s="3"/>
      <c r="D281" s="3" t="s">
        <v>255</v>
      </c>
      <c r="E281" s="3">
        <f>(E279*E280)</f>
        <v>307.8142383157894</v>
      </c>
      <c r="G281" s="3" t="s">
        <v>255</v>
      </c>
      <c r="H281" s="3">
        <f>H279*H280</f>
        <v>278.74624</v>
      </c>
      <c r="I281" s="3"/>
      <c r="J281" s="3" t="s">
        <v>255</v>
      </c>
      <c r="K281" s="3">
        <f>(K279*K280)</f>
        <v>115.58627368421061</v>
      </c>
      <c r="M281" s="3" t="s">
        <v>255</v>
      </c>
      <c r="N281" s="3">
        <f>N279*N280</f>
        <v>303.06623999999999</v>
      </c>
      <c r="O281" s="3"/>
      <c r="P281" s="3" t="s">
        <v>255</v>
      </c>
      <c r="Q281" s="3">
        <f>(Q279*Q280)</f>
        <v>29.649394526316041</v>
      </c>
      <c r="S281" s="3" t="s">
        <v>255</v>
      </c>
      <c r="T281" s="3">
        <f>T279*T280</f>
        <v>135.24601599999997</v>
      </c>
      <c r="U281" s="3"/>
      <c r="V281" s="3" t="s">
        <v>255</v>
      </c>
      <c r="W281" s="3">
        <f>(W279*W280)</f>
        <v>317.9827225263158</v>
      </c>
    </row>
    <row r="282" spans="1:23" x14ac:dyDescent="0.25">
      <c r="A282" s="3" t="s">
        <v>256</v>
      </c>
      <c r="B282" s="3">
        <v>321.26</v>
      </c>
      <c r="C282" s="3"/>
      <c r="D282" s="3" t="s">
        <v>256</v>
      </c>
      <c r="E282" s="3">
        <v>1417.12</v>
      </c>
      <c r="G282" s="3" t="s">
        <v>256</v>
      </c>
      <c r="H282" s="3">
        <v>12.38</v>
      </c>
      <c r="I282" s="3"/>
      <c r="J282" s="3" t="s">
        <v>256</v>
      </c>
      <c r="K282" s="3">
        <v>772.1</v>
      </c>
      <c r="M282" s="3" t="s">
        <v>256</v>
      </c>
      <c r="N282" s="3">
        <v>12.38</v>
      </c>
      <c r="O282" s="3"/>
      <c r="P282" s="3" t="s">
        <v>256</v>
      </c>
      <c r="Q282" s="3">
        <v>1022.01</v>
      </c>
      <c r="S282" s="3" t="s">
        <v>256</v>
      </c>
      <c r="T282" s="3">
        <v>321.26</v>
      </c>
      <c r="U282" s="3"/>
      <c r="V282" s="3" t="s">
        <v>256</v>
      </c>
      <c r="W282" s="3">
        <v>1471.12</v>
      </c>
    </row>
    <row r="283" spans="1:23" x14ac:dyDescent="0.25">
      <c r="A283" s="3" t="s">
        <v>257</v>
      </c>
      <c r="B283" s="3">
        <f>B281+B282</f>
        <v>454.54761599999995</v>
      </c>
      <c r="C283" s="3"/>
      <c r="D283" s="3" t="s">
        <v>257</v>
      </c>
      <c r="E283" s="3">
        <f>(E281+E282)</f>
        <v>1724.9342383157893</v>
      </c>
      <c r="G283" s="3" t="s">
        <v>257</v>
      </c>
      <c r="H283" s="3">
        <f>H281+H282</f>
        <v>291.12624</v>
      </c>
      <c r="I283" s="3"/>
      <c r="J283" s="3" t="s">
        <v>257</v>
      </c>
      <c r="K283" s="3">
        <f>(K281+K282)</f>
        <v>887.68627368421062</v>
      </c>
      <c r="M283" s="3" t="s">
        <v>257</v>
      </c>
      <c r="N283" s="3">
        <f>N281+N282</f>
        <v>315.44623999999999</v>
      </c>
      <c r="O283" s="3"/>
      <c r="P283" s="3" t="s">
        <v>257</v>
      </c>
      <c r="Q283" s="3">
        <f>(Q281+Q282)</f>
        <v>1051.659394526316</v>
      </c>
      <c r="S283" s="3" t="s">
        <v>257</v>
      </c>
      <c r="T283" s="3">
        <f>T281+T282</f>
        <v>456.50601599999993</v>
      </c>
      <c r="U283" s="3"/>
      <c r="V283" s="3" t="s">
        <v>257</v>
      </c>
      <c r="W283" s="3">
        <f>(W281+W282)</f>
        <v>1789.1027225263156</v>
      </c>
    </row>
    <row r="284" spans="1:23" x14ac:dyDescent="0.25">
      <c r="A284" s="3" t="s">
        <v>258</v>
      </c>
      <c r="B284" s="3"/>
      <c r="C284" s="3"/>
      <c r="D284" s="3" t="s">
        <v>258</v>
      </c>
      <c r="E284" s="3"/>
      <c r="G284" s="3" t="s">
        <v>258</v>
      </c>
      <c r="H284" s="3"/>
      <c r="I284" s="3"/>
      <c r="J284" s="3" t="s">
        <v>258</v>
      </c>
      <c r="K284" s="3"/>
      <c r="M284" s="3" t="s">
        <v>258</v>
      </c>
      <c r="N284" s="3"/>
      <c r="O284" s="3"/>
      <c r="P284" s="3" t="s">
        <v>258</v>
      </c>
      <c r="Q284" s="3"/>
      <c r="S284" s="3" t="s">
        <v>258</v>
      </c>
      <c r="T284" s="3"/>
      <c r="U284" s="3"/>
      <c r="V284" s="3" t="s">
        <v>258</v>
      </c>
      <c r="W284" s="3"/>
    </row>
    <row r="285" spans="1:23" x14ac:dyDescent="0.25">
      <c r="A285" s="3" t="s">
        <v>259</v>
      </c>
      <c r="B285" s="3">
        <f>(B283-B284)</f>
        <v>454.54761599999995</v>
      </c>
      <c r="C285" s="3"/>
      <c r="D285" s="3" t="s">
        <v>259</v>
      </c>
      <c r="E285" s="3">
        <f>(E283-E284)</f>
        <v>1724.9342383157893</v>
      </c>
      <c r="G285" s="3" t="s">
        <v>259</v>
      </c>
      <c r="H285" s="3">
        <f>(H283-H284)</f>
        <v>291.12624</v>
      </c>
      <c r="I285" s="3"/>
      <c r="J285" s="3" t="s">
        <v>259</v>
      </c>
      <c r="K285" s="3">
        <f>(K283-K284)</f>
        <v>887.68627368421062</v>
      </c>
      <c r="M285" s="3" t="s">
        <v>259</v>
      </c>
      <c r="N285" s="3">
        <f>(N283-N284)</f>
        <v>315.44623999999999</v>
      </c>
      <c r="O285" s="3"/>
      <c r="P285" s="3" t="s">
        <v>259</v>
      </c>
      <c r="Q285" s="3">
        <f>(Q283-Q284)</f>
        <v>1051.659394526316</v>
      </c>
      <c r="S285" s="3" t="s">
        <v>259</v>
      </c>
      <c r="T285" s="3">
        <f>(T283-T284)</f>
        <v>456.50601599999993</v>
      </c>
      <c r="U285" s="3"/>
      <c r="V285" s="3" t="s">
        <v>259</v>
      </c>
      <c r="W285" s="3">
        <f>(W283-W284)</f>
        <v>1789.1027225263156</v>
      </c>
    </row>
    <row r="286" spans="1:23" x14ac:dyDescent="0.25">
      <c r="A286" s="3"/>
      <c r="B286" s="3"/>
      <c r="C286" s="3"/>
      <c r="D286" s="3"/>
      <c r="E286" s="3"/>
      <c r="G286" s="3"/>
      <c r="H286" s="3"/>
      <c r="I286" s="3"/>
      <c r="J286" s="3"/>
      <c r="K286" s="3"/>
      <c r="M286" s="3"/>
      <c r="N286" s="3"/>
      <c r="O286" s="3"/>
      <c r="P286" s="3"/>
      <c r="Q286" s="3"/>
      <c r="S286" s="3"/>
      <c r="T286" s="3"/>
      <c r="U286" s="3"/>
      <c r="V286" s="3"/>
      <c r="W286" s="3"/>
    </row>
    <row r="287" spans="1:23" x14ac:dyDescent="0.25">
      <c r="A287" s="3"/>
      <c r="B287" s="3"/>
      <c r="C287" s="3"/>
      <c r="D287" s="3" t="s">
        <v>260</v>
      </c>
      <c r="E287" s="3">
        <f>E285-B285</f>
        <v>1270.3866223157893</v>
      </c>
      <c r="G287" s="3"/>
      <c r="H287" s="3"/>
      <c r="I287" s="3"/>
      <c r="J287" s="3" t="s">
        <v>260</v>
      </c>
      <c r="K287" s="3">
        <f>K285-H285</f>
        <v>596.56003368421057</v>
      </c>
      <c r="M287" s="3"/>
      <c r="N287" s="3"/>
      <c r="O287" s="3"/>
      <c r="P287" s="3" t="s">
        <v>260</v>
      </c>
      <c r="Q287" s="3">
        <f>Q285-N285</f>
        <v>736.21315452631598</v>
      </c>
      <c r="S287" s="3"/>
      <c r="T287" s="3"/>
      <c r="U287" s="3"/>
      <c r="V287" s="3" t="s">
        <v>260</v>
      </c>
      <c r="W287" s="3">
        <f>W285-T285</f>
        <v>1332.5967065263158</v>
      </c>
    </row>
    <row r="290" spans="1:23" ht="18.75" x14ac:dyDescent="0.3">
      <c r="A290" s="95" t="s">
        <v>368</v>
      </c>
      <c r="B290" s="96"/>
      <c r="C290" s="3"/>
      <c r="D290" s="96"/>
      <c r="E290" s="96"/>
      <c r="G290" s="95" t="s">
        <v>369</v>
      </c>
      <c r="H290" s="96"/>
      <c r="I290" s="3"/>
      <c r="J290" s="96"/>
      <c r="K290" s="96"/>
      <c r="M290" s="95" t="s">
        <v>370</v>
      </c>
      <c r="N290" s="96"/>
      <c r="O290" s="3"/>
      <c r="P290" s="96"/>
      <c r="Q290" s="96"/>
      <c r="S290" s="95" t="s">
        <v>371</v>
      </c>
      <c r="T290" s="96"/>
      <c r="U290" s="3"/>
      <c r="V290" s="96"/>
      <c r="W290" s="96"/>
    </row>
    <row r="291" spans="1:23" x14ac:dyDescent="0.25">
      <c r="A291" s="3"/>
      <c r="B291" s="3"/>
      <c r="C291" s="3"/>
      <c r="D291" s="3"/>
      <c r="E291" s="3"/>
      <c r="G291" s="3"/>
      <c r="H291" s="3"/>
      <c r="I291" s="3"/>
      <c r="J291" s="3"/>
      <c r="K291" s="3"/>
      <c r="M291" s="3"/>
      <c r="N291" s="3"/>
      <c r="O291" s="3"/>
      <c r="P291" s="3"/>
      <c r="Q291" s="3"/>
      <c r="S291" s="3"/>
      <c r="T291" s="3"/>
      <c r="U291" s="3"/>
      <c r="V291" s="3"/>
      <c r="W291" s="3"/>
    </row>
    <row r="292" spans="1:23" x14ac:dyDescent="0.25">
      <c r="A292" s="3"/>
      <c r="B292" s="3"/>
      <c r="C292" s="3"/>
      <c r="D292" s="3" t="s">
        <v>249</v>
      </c>
      <c r="E292" s="3">
        <f>B294</f>
        <v>7676.96</v>
      </c>
      <c r="G292" s="3"/>
      <c r="H292" s="3"/>
      <c r="I292" s="3"/>
      <c r="J292" s="3" t="s">
        <v>249</v>
      </c>
      <c r="K292" s="3">
        <f>H294</f>
        <v>7688.18</v>
      </c>
      <c r="M292" s="3"/>
      <c r="N292" s="3"/>
      <c r="O292" s="3"/>
      <c r="P292" s="3" t="s">
        <v>249</v>
      </c>
      <c r="Q292" s="3">
        <f>N294</f>
        <v>5669.9</v>
      </c>
      <c r="S292" s="3"/>
      <c r="T292" s="3"/>
      <c r="U292" s="3"/>
      <c r="V292" s="3" t="s">
        <v>249</v>
      </c>
      <c r="W292" s="3">
        <f>T294</f>
        <v>7627.56</v>
      </c>
    </row>
    <row r="293" spans="1:23" x14ac:dyDescent="0.25">
      <c r="A293" s="3"/>
      <c r="B293" s="3"/>
      <c r="C293" s="3"/>
      <c r="D293" s="3" t="s">
        <v>250</v>
      </c>
      <c r="E293" s="3">
        <v>9739.9789473684214</v>
      </c>
      <c r="G293" s="3"/>
      <c r="H293" s="3"/>
      <c r="I293" s="3"/>
      <c r="J293" s="3" t="s">
        <v>250</v>
      </c>
      <c r="K293" s="3">
        <v>9758.4328947368431</v>
      </c>
      <c r="M293" s="3"/>
      <c r="N293" s="3"/>
      <c r="O293" s="3"/>
      <c r="P293" s="3" t="s">
        <v>250</v>
      </c>
      <c r="Q293" s="3">
        <v>6438.8934210526313</v>
      </c>
      <c r="S293" s="3"/>
      <c r="T293" s="3"/>
      <c r="U293" s="3"/>
      <c r="V293" s="3" t="s">
        <v>250</v>
      </c>
      <c r="W293" s="3">
        <v>9658.7289473684214</v>
      </c>
    </row>
    <row r="294" spans="1:23" x14ac:dyDescent="0.25">
      <c r="A294" s="3" t="s">
        <v>249</v>
      </c>
      <c r="B294" s="3">
        <f>3838.48*2</f>
        <v>7676.96</v>
      </c>
      <c r="C294" s="3"/>
      <c r="D294" s="3" t="s">
        <v>251</v>
      </c>
      <c r="E294" s="3">
        <f>E292+E293</f>
        <v>17416.93894736842</v>
      </c>
      <c r="G294" s="3" t="s">
        <v>249</v>
      </c>
      <c r="H294" s="3">
        <f>3844.09*2</f>
        <v>7688.18</v>
      </c>
      <c r="I294" s="3"/>
      <c r="J294" s="3" t="s">
        <v>251</v>
      </c>
      <c r="K294" s="3">
        <f>K292+K293</f>
        <v>17446.612894736842</v>
      </c>
      <c r="M294" s="3" t="s">
        <v>249</v>
      </c>
      <c r="N294" s="3">
        <f>2834.95*2</f>
        <v>5669.9</v>
      </c>
      <c r="O294" s="3"/>
      <c r="P294" s="3" t="s">
        <v>251</v>
      </c>
      <c r="Q294" s="3">
        <f>Q292+Q293</f>
        <v>12108.793421052631</v>
      </c>
      <c r="S294" s="3" t="s">
        <v>249</v>
      </c>
      <c r="T294" s="3">
        <f>3813.78*2</f>
        <v>7627.56</v>
      </c>
      <c r="U294" s="3"/>
      <c r="V294" s="3" t="s">
        <v>251</v>
      </c>
      <c r="W294" s="3">
        <f>W292+W293</f>
        <v>17286.288947368423</v>
      </c>
    </row>
    <row r="295" spans="1:23" x14ac:dyDescent="0.25">
      <c r="A295" s="3" t="s">
        <v>252</v>
      </c>
      <c r="B295" s="3">
        <v>5470.93</v>
      </c>
      <c r="C295" s="3"/>
      <c r="D295" s="3" t="s">
        <v>252</v>
      </c>
      <c r="E295" s="3">
        <v>13381.48</v>
      </c>
      <c r="G295" s="3" t="s">
        <v>252</v>
      </c>
      <c r="H295" s="3">
        <v>5470.93</v>
      </c>
      <c r="I295" s="3"/>
      <c r="J295" s="3" t="s">
        <v>252</v>
      </c>
      <c r="K295" s="3">
        <v>13381.48</v>
      </c>
      <c r="M295" s="3" t="s">
        <v>252</v>
      </c>
      <c r="N295" s="3">
        <v>5470.93</v>
      </c>
      <c r="O295" s="3"/>
      <c r="P295" s="3" t="s">
        <v>252</v>
      </c>
      <c r="Q295" s="3">
        <v>11176.62</v>
      </c>
      <c r="S295" s="3" t="s">
        <v>252</v>
      </c>
      <c r="T295" s="3">
        <v>5470.93</v>
      </c>
      <c r="U295" s="3"/>
      <c r="V295" s="3" t="s">
        <v>252</v>
      </c>
      <c r="W295" s="3">
        <v>13381.48</v>
      </c>
    </row>
    <row r="296" spans="1:23" x14ac:dyDescent="0.25">
      <c r="A296" s="3" t="s">
        <v>253</v>
      </c>
      <c r="B296" s="3">
        <f>B294-B295</f>
        <v>2206.0299999999997</v>
      </c>
      <c r="C296" s="3"/>
      <c r="D296" s="3" t="s">
        <v>253</v>
      </c>
      <c r="E296" s="3">
        <f>(E294-E295)</f>
        <v>4035.4589473684209</v>
      </c>
      <c r="G296" s="3" t="s">
        <v>253</v>
      </c>
      <c r="H296" s="3">
        <f>H294-H295</f>
        <v>2217.25</v>
      </c>
      <c r="I296" s="3"/>
      <c r="J296" s="3" t="s">
        <v>253</v>
      </c>
      <c r="K296" s="3">
        <f>(K294-K295)</f>
        <v>4065.132894736842</v>
      </c>
      <c r="M296" s="3" t="s">
        <v>253</v>
      </c>
      <c r="N296" s="3">
        <f>N294-N295</f>
        <v>198.96999999999935</v>
      </c>
      <c r="O296" s="3"/>
      <c r="P296" s="3" t="s">
        <v>253</v>
      </c>
      <c r="Q296" s="3">
        <f>(Q294-Q295)</f>
        <v>932.17342105263015</v>
      </c>
      <c r="S296" s="3" t="s">
        <v>253</v>
      </c>
      <c r="T296" s="3">
        <f>T294-T295</f>
        <v>2156.63</v>
      </c>
      <c r="U296" s="3"/>
      <c r="V296" s="3" t="s">
        <v>253</v>
      </c>
      <c r="W296" s="3">
        <f>(W294-W295)</f>
        <v>3904.8089473684231</v>
      </c>
    </row>
    <row r="297" spans="1:23" x14ac:dyDescent="0.25">
      <c r="A297" s="3" t="s">
        <v>254</v>
      </c>
      <c r="B297" s="5">
        <v>0.10879999999999999</v>
      </c>
      <c r="C297" s="3"/>
      <c r="D297" s="3" t="s">
        <v>254</v>
      </c>
      <c r="E297" s="5">
        <v>0.21360000000000001</v>
      </c>
      <c r="G297" s="3" t="s">
        <v>254</v>
      </c>
      <c r="H297" s="5">
        <v>0.10879999999999999</v>
      </c>
      <c r="I297" s="3"/>
      <c r="J297" s="3" t="s">
        <v>254</v>
      </c>
      <c r="K297" s="5">
        <v>0.21360000000000001</v>
      </c>
      <c r="M297" s="3" t="s">
        <v>254</v>
      </c>
      <c r="N297" s="5">
        <v>0.10879999999999999</v>
      </c>
      <c r="O297" s="3"/>
      <c r="P297" s="3" t="s">
        <v>254</v>
      </c>
      <c r="Q297" s="5">
        <v>0.16</v>
      </c>
      <c r="S297" s="3" t="s">
        <v>254</v>
      </c>
      <c r="T297" s="5">
        <v>0.10879999999999999</v>
      </c>
      <c r="U297" s="3"/>
      <c r="V297" s="3" t="s">
        <v>254</v>
      </c>
      <c r="W297" s="5">
        <v>0.21360000000000001</v>
      </c>
    </row>
    <row r="298" spans="1:23" x14ac:dyDescent="0.25">
      <c r="A298" s="3" t="s">
        <v>255</v>
      </c>
      <c r="B298" s="3">
        <f>B296*B297</f>
        <v>240.01606399999997</v>
      </c>
      <c r="C298" s="3"/>
      <c r="D298" s="3" t="s">
        <v>255</v>
      </c>
      <c r="E298" s="3">
        <f>(E296*E297)</f>
        <v>861.97403115789473</v>
      </c>
      <c r="G298" s="3" t="s">
        <v>255</v>
      </c>
      <c r="H298" s="3">
        <f>H296*H297</f>
        <v>241.23679999999999</v>
      </c>
      <c r="I298" s="3"/>
      <c r="J298" s="3" t="s">
        <v>255</v>
      </c>
      <c r="K298" s="3">
        <f>(K296*K297)</f>
        <v>868.31238631578947</v>
      </c>
      <c r="M298" s="3" t="s">
        <v>255</v>
      </c>
      <c r="N298" s="3">
        <f>N296*N297</f>
        <v>21.647935999999927</v>
      </c>
      <c r="O298" s="3"/>
      <c r="P298" s="3" t="s">
        <v>255</v>
      </c>
      <c r="Q298" s="3">
        <f>(Q296*Q297)</f>
        <v>149.14774736842082</v>
      </c>
      <c r="S298" s="3" t="s">
        <v>255</v>
      </c>
      <c r="T298" s="3">
        <f>T296*T297</f>
        <v>234.641344</v>
      </c>
      <c r="U298" s="3"/>
      <c r="V298" s="3" t="s">
        <v>255</v>
      </c>
      <c r="W298" s="3">
        <f>(W296*W297)</f>
        <v>834.06719115789519</v>
      </c>
    </row>
    <row r="299" spans="1:23" x14ac:dyDescent="0.25">
      <c r="A299" s="3" t="s">
        <v>256</v>
      </c>
      <c r="B299" s="3">
        <v>321.26</v>
      </c>
      <c r="C299" s="3"/>
      <c r="D299" s="3" t="s">
        <v>256</v>
      </c>
      <c r="E299" s="3">
        <v>1471.12</v>
      </c>
      <c r="G299" s="3" t="s">
        <v>256</v>
      </c>
      <c r="H299" s="3">
        <v>321.26</v>
      </c>
      <c r="I299" s="3"/>
      <c r="J299" s="3" t="s">
        <v>256</v>
      </c>
      <c r="K299" s="3">
        <v>1471.12</v>
      </c>
      <c r="M299" s="3" t="s">
        <v>256</v>
      </c>
      <c r="N299" s="3">
        <v>321.26</v>
      </c>
      <c r="O299" s="3"/>
      <c r="P299" s="3" t="s">
        <v>256</v>
      </c>
      <c r="Q299" s="3">
        <v>772.1</v>
      </c>
      <c r="S299" s="3" t="s">
        <v>256</v>
      </c>
      <c r="T299" s="3">
        <v>321.26</v>
      </c>
      <c r="U299" s="3"/>
      <c r="V299" s="3" t="s">
        <v>256</v>
      </c>
      <c r="W299" s="3">
        <v>1417.12</v>
      </c>
    </row>
    <row r="300" spans="1:23" x14ac:dyDescent="0.25">
      <c r="A300" s="3" t="s">
        <v>257</v>
      </c>
      <c r="B300" s="3">
        <f>B298+B299</f>
        <v>561.27606399999991</v>
      </c>
      <c r="C300" s="3"/>
      <c r="D300" s="3" t="s">
        <v>257</v>
      </c>
      <c r="E300" s="3">
        <f>(E298+E299)</f>
        <v>2333.0940311578947</v>
      </c>
      <c r="G300" s="3" t="s">
        <v>257</v>
      </c>
      <c r="H300" s="3">
        <f>H298+H299</f>
        <v>562.49680000000001</v>
      </c>
      <c r="I300" s="3"/>
      <c r="J300" s="3" t="s">
        <v>257</v>
      </c>
      <c r="K300" s="3">
        <f>(K298+K299)</f>
        <v>2339.4323863157892</v>
      </c>
      <c r="M300" s="3" t="s">
        <v>257</v>
      </c>
      <c r="N300" s="3">
        <f>N298+N299</f>
        <v>342.90793599999989</v>
      </c>
      <c r="O300" s="3"/>
      <c r="P300" s="3" t="s">
        <v>257</v>
      </c>
      <c r="Q300" s="3">
        <f>(Q298+Q299)</f>
        <v>921.24774736842085</v>
      </c>
      <c r="S300" s="3" t="s">
        <v>257</v>
      </c>
      <c r="T300" s="3">
        <f>T298+T299</f>
        <v>555.90134399999999</v>
      </c>
      <c r="U300" s="3"/>
      <c r="V300" s="3" t="s">
        <v>257</v>
      </c>
      <c r="W300" s="3">
        <f>(W298+W299)</f>
        <v>2251.1871911578951</v>
      </c>
    </row>
    <row r="301" spans="1:23" x14ac:dyDescent="0.25">
      <c r="A301" s="3" t="s">
        <v>258</v>
      </c>
      <c r="B301" s="3"/>
      <c r="C301" s="3"/>
      <c r="D301" s="3" t="s">
        <v>258</v>
      </c>
      <c r="E301" s="3"/>
      <c r="G301" s="3" t="s">
        <v>258</v>
      </c>
      <c r="H301" s="3"/>
      <c r="I301" s="3"/>
      <c r="J301" s="3" t="s">
        <v>258</v>
      </c>
      <c r="K301" s="3"/>
      <c r="M301" s="3" t="s">
        <v>258</v>
      </c>
      <c r="N301" s="3"/>
      <c r="O301" s="3"/>
      <c r="P301" s="3" t="s">
        <v>258</v>
      </c>
      <c r="Q301" s="3"/>
      <c r="S301" s="3" t="s">
        <v>258</v>
      </c>
      <c r="T301" s="3"/>
      <c r="U301" s="3"/>
      <c r="V301" s="3" t="s">
        <v>258</v>
      </c>
      <c r="W301" s="3"/>
    </row>
    <row r="302" spans="1:23" x14ac:dyDescent="0.25">
      <c r="A302" s="3" t="s">
        <v>259</v>
      </c>
      <c r="B302" s="3">
        <f>(B300-B301)</f>
        <v>561.27606399999991</v>
      </c>
      <c r="C302" s="3"/>
      <c r="D302" s="3" t="s">
        <v>259</v>
      </c>
      <c r="E302" s="3">
        <f>(E300-E301)</f>
        <v>2333.0940311578947</v>
      </c>
      <c r="G302" s="3" t="s">
        <v>259</v>
      </c>
      <c r="H302" s="3">
        <f>(H300-H301)</f>
        <v>562.49680000000001</v>
      </c>
      <c r="I302" s="3"/>
      <c r="J302" s="3" t="s">
        <v>259</v>
      </c>
      <c r="K302" s="3">
        <f>(K300-K301)</f>
        <v>2339.4323863157892</v>
      </c>
      <c r="M302" s="3" t="s">
        <v>259</v>
      </c>
      <c r="N302" s="3">
        <f>(N300-N301)</f>
        <v>342.90793599999989</v>
      </c>
      <c r="O302" s="3"/>
      <c r="P302" s="3" t="s">
        <v>259</v>
      </c>
      <c r="Q302" s="3">
        <f>(Q300-Q301)</f>
        <v>921.24774736842085</v>
      </c>
      <c r="S302" s="3" t="s">
        <v>259</v>
      </c>
      <c r="T302" s="3">
        <f>(T300-T301)</f>
        <v>555.90134399999999</v>
      </c>
      <c r="U302" s="3"/>
      <c r="V302" s="3" t="s">
        <v>259</v>
      </c>
      <c r="W302" s="3">
        <f>(W300-W301)</f>
        <v>2251.1871911578951</v>
      </c>
    </row>
    <row r="303" spans="1:23" x14ac:dyDescent="0.25">
      <c r="A303" s="3"/>
      <c r="B303" s="3"/>
      <c r="C303" s="3"/>
      <c r="D303" s="3"/>
      <c r="E303" s="3"/>
      <c r="G303" s="3"/>
      <c r="H303" s="3"/>
      <c r="I303" s="3"/>
      <c r="J303" s="3"/>
      <c r="K303" s="3"/>
      <c r="M303" s="3"/>
      <c r="N303" s="3"/>
      <c r="O303" s="3"/>
      <c r="P303" s="3"/>
      <c r="Q303" s="3"/>
      <c r="S303" s="3"/>
      <c r="T303" s="3"/>
      <c r="U303" s="3"/>
      <c r="V303" s="3"/>
      <c r="W303" s="3"/>
    </row>
    <row r="304" spans="1:23" x14ac:dyDescent="0.25">
      <c r="A304" s="3"/>
      <c r="B304" s="3"/>
      <c r="C304" s="3"/>
      <c r="D304" s="3" t="s">
        <v>260</v>
      </c>
      <c r="E304" s="3">
        <f>E302-B302</f>
        <v>1771.8179671578948</v>
      </c>
      <c r="G304" s="3"/>
      <c r="H304" s="3"/>
      <c r="I304" s="3"/>
      <c r="J304" s="3" t="s">
        <v>260</v>
      </c>
      <c r="K304" s="3">
        <f>K302-H302</f>
        <v>1776.9355863157894</v>
      </c>
      <c r="M304" s="3"/>
      <c r="N304" s="3"/>
      <c r="O304" s="3"/>
      <c r="P304" s="3" t="s">
        <v>260</v>
      </c>
      <c r="Q304" s="3">
        <f>Q302-N302</f>
        <v>578.3398113684209</v>
      </c>
      <c r="S304" s="3"/>
      <c r="T304" s="3"/>
      <c r="U304" s="3"/>
      <c r="V304" s="3" t="s">
        <v>260</v>
      </c>
      <c r="W304" s="3">
        <f>W302-T302</f>
        <v>1695.2858471578952</v>
      </c>
    </row>
    <row r="307" spans="1:23" ht="18.75" x14ac:dyDescent="0.3">
      <c r="A307" s="95" t="s">
        <v>372</v>
      </c>
      <c r="B307" s="96"/>
      <c r="C307" s="3"/>
      <c r="D307" s="96"/>
      <c r="E307" s="96"/>
      <c r="G307" s="95" t="s">
        <v>373</v>
      </c>
      <c r="H307" s="96"/>
      <c r="I307" s="3"/>
      <c r="J307" s="96"/>
      <c r="K307" s="96"/>
      <c r="M307" s="95" t="s">
        <v>374</v>
      </c>
      <c r="N307" s="96"/>
      <c r="O307" s="3"/>
      <c r="P307" s="96"/>
      <c r="Q307" s="96"/>
      <c r="S307" s="95" t="s">
        <v>375</v>
      </c>
      <c r="T307" s="96"/>
      <c r="U307" s="3"/>
      <c r="V307" s="96"/>
      <c r="W307" s="96"/>
    </row>
    <row r="308" spans="1:23" x14ac:dyDescent="0.25">
      <c r="A308" s="3"/>
      <c r="B308" s="3"/>
      <c r="C308" s="3"/>
      <c r="D308" s="3"/>
      <c r="E308" s="3"/>
      <c r="G308" s="3"/>
      <c r="H308" s="3"/>
      <c r="I308" s="3"/>
      <c r="J308" s="3"/>
      <c r="K308" s="3"/>
      <c r="M308" s="3"/>
      <c r="N308" s="3"/>
      <c r="O308" s="3"/>
      <c r="P308" s="3"/>
      <c r="Q308" s="3"/>
      <c r="S308" s="3"/>
      <c r="T308" s="3"/>
      <c r="U308" s="3"/>
      <c r="V308" s="3"/>
      <c r="W308" s="3"/>
    </row>
    <row r="309" spans="1:23" x14ac:dyDescent="0.25">
      <c r="A309" s="3"/>
      <c r="B309" s="3"/>
      <c r="C309" s="3"/>
      <c r="D309" s="3" t="s">
        <v>249</v>
      </c>
      <c r="E309" s="3">
        <f>B311</f>
        <v>5186.1000000000004</v>
      </c>
      <c r="G309" s="3"/>
      <c r="H309" s="3"/>
      <c r="I309" s="3"/>
      <c r="J309" s="3" t="s">
        <v>249</v>
      </c>
      <c r="K309" s="3">
        <f>H311</f>
        <v>7627.56</v>
      </c>
      <c r="M309" s="3"/>
      <c r="N309" s="3"/>
      <c r="O309" s="3"/>
      <c r="P309" s="3" t="s">
        <v>249</v>
      </c>
      <c r="Q309" s="3">
        <f>N311</f>
        <v>6792.5</v>
      </c>
      <c r="S309" s="3"/>
      <c r="T309" s="3"/>
      <c r="U309" s="3"/>
      <c r="V309" s="3" t="s">
        <v>249</v>
      </c>
      <c r="W309" s="3">
        <f>T311</f>
        <v>5186.1000000000004</v>
      </c>
    </row>
    <row r="310" spans="1:23" x14ac:dyDescent="0.25">
      <c r="A310" s="3"/>
      <c r="B310" s="3"/>
      <c r="C310" s="3"/>
      <c r="D310" s="3" t="s">
        <v>250</v>
      </c>
      <c r="E310" s="3">
        <v>5643.1697368421064</v>
      </c>
      <c r="G310" s="3"/>
      <c r="H310" s="3"/>
      <c r="I310" s="3"/>
      <c r="J310" s="3" t="s">
        <v>250</v>
      </c>
      <c r="K310" s="3">
        <v>9658.7289473684214</v>
      </c>
      <c r="M310" s="3"/>
      <c r="N310" s="3"/>
      <c r="O310" s="3"/>
      <c r="P310" s="3" t="s">
        <v>250</v>
      </c>
      <c r="Q310" s="3">
        <v>8285.2749999999996</v>
      </c>
      <c r="S310" s="3"/>
      <c r="T310" s="3"/>
      <c r="U310" s="3"/>
      <c r="V310" s="3" t="s">
        <v>250</v>
      </c>
      <c r="W310" s="3">
        <v>5643.1697368421064</v>
      </c>
    </row>
    <row r="311" spans="1:23" x14ac:dyDescent="0.25">
      <c r="A311" s="3" t="s">
        <v>249</v>
      </c>
      <c r="B311" s="3">
        <f>2593.05*2</f>
        <v>5186.1000000000004</v>
      </c>
      <c r="C311" s="3"/>
      <c r="D311" s="3" t="s">
        <v>251</v>
      </c>
      <c r="E311" s="3">
        <f>E309+E310</f>
        <v>10829.269736842107</v>
      </c>
      <c r="G311" s="3" t="s">
        <v>249</v>
      </c>
      <c r="H311" s="3">
        <f>3813.78*2</f>
        <v>7627.56</v>
      </c>
      <c r="I311" s="3"/>
      <c r="J311" s="3" t="s">
        <v>251</v>
      </c>
      <c r="K311" s="3">
        <f>K309+K310</f>
        <v>17286.288947368423</v>
      </c>
      <c r="M311" s="3" t="s">
        <v>249</v>
      </c>
      <c r="N311" s="3">
        <f>3396.25*2</f>
        <v>6792.5</v>
      </c>
      <c r="O311" s="3"/>
      <c r="P311" s="3" t="s">
        <v>251</v>
      </c>
      <c r="Q311" s="3">
        <f>Q309+Q310</f>
        <v>15077.775</v>
      </c>
      <c r="S311" s="3" t="s">
        <v>249</v>
      </c>
      <c r="T311" s="3">
        <f>2593.05*2</f>
        <v>5186.1000000000004</v>
      </c>
      <c r="U311" s="3"/>
      <c r="V311" s="3" t="s">
        <v>251</v>
      </c>
      <c r="W311" s="3">
        <f>W309+W310</f>
        <v>10829.269736842107</v>
      </c>
    </row>
    <row r="312" spans="1:23" x14ac:dyDescent="0.25">
      <c r="A312" s="3" t="s">
        <v>252</v>
      </c>
      <c r="B312" s="3">
        <v>644.59</v>
      </c>
      <c r="C312" s="3"/>
      <c r="D312" s="3" t="s">
        <v>252</v>
      </c>
      <c r="E312" s="3">
        <v>9614.67</v>
      </c>
      <c r="G312" s="3" t="s">
        <v>252</v>
      </c>
      <c r="H312" s="3">
        <v>5470.93</v>
      </c>
      <c r="I312" s="3"/>
      <c r="J312" s="3" t="s">
        <v>252</v>
      </c>
      <c r="K312" s="3">
        <v>13381.48</v>
      </c>
      <c r="M312" s="3" t="s">
        <v>252</v>
      </c>
      <c r="N312" s="3">
        <v>5470.93</v>
      </c>
      <c r="O312" s="3"/>
      <c r="P312" s="3" t="s">
        <v>252</v>
      </c>
      <c r="Q312" s="3">
        <v>13381.48</v>
      </c>
      <c r="S312" s="3" t="s">
        <v>252</v>
      </c>
      <c r="T312" s="3">
        <v>644.59</v>
      </c>
      <c r="U312" s="3"/>
      <c r="V312" s="3" t="s">
        <v>252</v>
      </c>
      <c r="W312" s="3">
        <v>9614.67</v>
      </c>
    </row>
    <row r="313" spans="1:23" x14ac:dyDescent="0.25">
      <c r="A313" s="3" t="s">
        <v>253</v>
      </c>
      <c r="B313" s="3">
        <f>B311-B312</f>
        <v>4541.51</v>
      </c>
      <c r="C313" s="3"/>
      <c r="D313" s="3" t="s">
        <v>253</v>
      </c>
      <c r="E313" s="3">
        <f>(E311-E312)</f>
        <v>1214.5997368421067</v>
      </c>
      <c r="G313" s="3" t="s">
        <v>253</v>
      </c>
      <c r="H313" s="3">
        <f>H311-H312</f>
        <v>2156.63</v>
      </c>
      <c r="I313" s="3"/>
      <c r="J313" s="3" t="s">
        <v>253</v>
      </c>
      <c r="K313" s="3">
        <f>(K311-K312)</f>
        <v>3904.8089473684231</v>
      </c>
      <c r="M313" s="3" t="s">
        <v>253</v>
      </c>
      <c r="N313" s="3">
        <f>N311-N312</f>
        <v>1321.5699999999997</v>
      </c>
      <c r="O313" s="3"/>
      <c r="P313" s="3" t="s">
        <v>253</v>
      </c>
      <c r="Q313" s="3">
        <f>(Q311-Q312)</f>
        <v>1696.2950000000001</v>
      </c>
      <c r="S313" s="3" t="s">
        <v>253</v>
      </c>
      <c r="T313" s="3">
        <f>T311-T312</f>
        <v>4541.51</v>
      </c>
      <c r="U313" s="3"/>
      <c r="V313" s="3" t="s">
        <v>253</v>
      </c>
      <c r="W313" s="3">
        <f>(W311-W312)</f>
        <v>1214.5997368421067</v>
      </c>
    </row>
    <row r="314" spans="1:23" x14ac:dyDescent="0.25">
      <c r="A314" s="3" t="s">
        <v>254</v>
      </c>
      <c r="B314" s="5">
        <v>6.4000000000000001E-2</v>
      </c>
      <c r="C314" s="3"/>
      <c r="D314" s="3" t="s">
        <v>254</v>
      </c>
      <c r="E314" s="5">
        <v>0.16</v>
      </c>
      <c r="G314" s="3" t="s">
        <v>254</v>
      </c>
      <c r="H314" s="5">
        <v>0.10879999999999999</v>
      </c>
      <c r="I314" s="3"/>
      <c r="J314" s="3" t="s">
        <v>254</v>
      </c>
      <c r="K314" s="5">
        <v>0.21360000000000001</v>
      </c>
      <c r="M314" s="3" t="s">
        <v>254</v>
      </c>
      <c r="N314" s="5">
        <v>0.10879999999999999</v>
      </c>
      <c r="O314" s="3"/>
      <c r="P314" s="3" t="s">
        <v>254</v>
      </c>
      <c r="Q314" s="5">
        <v>0.21360000000000001</v>
      </c>
      <c r="S314" s="3" t="s">
        <v>254</v>
      </c>
      <c r="T314" s="5">
        <v>6.4000000000000001E-2</v>
      </c>
      <c r="U314" s="3"/>
      <c r="V314" s="3" t="s">
        <v>254</v>
      </c>
      <c r="W314" s="5">
        <v>0.16</v>
      </c>
    </row>
    <row r="315" spans="1:23" x14ac:dyDescent="0.25">
      <c r="A315" s="3" t="s">
        <v>255</v>
      </c>
      <c r="B315" s="3">
        <f>B313*B314</f>
        <v>290.65664000000004</v>
      </c>
      <c r="C315" s="3"/>
      <c r="D315" s="3" t="s">
        <v>255</v>
      </c>
      <c r="E315" s="3">
        <f>(E313*E314)</f>
        <v>194.33595789473708</v>
      </c>
      <c r="G315" s="3" t="s">
        <v>255</v>
      </c>
      <c r="H315" s="3">
        <f>H313*H314</f>
        <v>234.641344</v>
      </c>
      <c r="I315" s="3"/>
      <c r="J315" s="3" t="s">
        <v>255</v>
      </c>
      <c r="K315" s="3">
        <f>(K313*K314)</f>
        <v>834.06719115789519</v>
      </c>
      <c r="M315" s="3" t="s">
        <v>255</v>
      </c>
      <c r="N315" s="3">
        <f>N313*N314</f>
        <v>143.78681599999996</v>
      </c>
      <c r="O315" s="3"/>
      <c r="P315" s="3" t="s">
        <v>255</v>
      </c>
      <c r="Q315" s="3">
        <f>(Q313*Q314)</f>
        <v>362.32861200000002</v>
      </c>
      <c r="S315" s="3" t="s">
        <v>255</v>
      </c>
      <c r="T315" s="3">
        <f>T313*T314</f>
        <v>290.65664000000004</v>
      </c>
      <c r="U315" s="3"/>
      <c r="V315" s="3" t="s">
        <v>255</v>
      </c>
      <c r="W315" s="3">
        <f>(W313*W314)</f>
        <v>194.33595789473708</v>
      </c>
    </row>
    <row r="316" spans="1:23" x14ac:dyDescent="0.25">
      <c r="A316" s="3" t="s">
        <v>256</v>
      </c>
      <c r="B316" s="3">
        <v>12.38</v>
      </c>
      <c r="C316" s="3"/>
      <c r="D316" s="3" t="s">
        <v>256</v>
      </c>
      <c r="E316" s="3">
        <v>772.1</v>
      </c>
      <c r="G316" s="3" t="s">
        <v>256</v>
      </c>
      <c r="H316" s="3">
        <v>321.26</v>
      </c>
      <c r="I316" s="3"/>
      <c r="J316" s="3" t="s">
        <v>256</v>
      </c>
      <c r="K316" s="3">
        <v>1417.12</v>
      </c>
      <c r="M316" s="3" t="s">
        <v>256</v>
      </c>
      <c r="N316" s="3">
        <v>321.26</v>
      </c>
      <c r="O316" s="3"/>
      <c r="P316" s="3" t="s">
        <v>256</v>
      </c>
      <c r="Q316" s="3">
        <v>1417.12</v>
      </c>
      <c r="S316" s="3" t="s">
        <v>256</v>
      </c>
      <c r="T316" s="3">
        <v>12.38</v>
      </c>
      <c r="U316" s="3"/>
      <c r="V316" s="3" t="s">
        <v>256</v>
      </c>
      <c r="W316" s="3">
        <v>772.1</v>
      </c>
    </row>
    <row r="317" spans="1:23" x14ac:dyDescent="0.25">
      <c r="A317" s="3" t="s">
        <v>257</v>
      </c>
      <c r="B317" s="3">
        <f>B315+B316</f>
        <v>303.03664000000003</v>
      </c>
      <c r="C317" s="3"/>
      <c r="D317" s="3" t="s">
        <v>257</v>
      </c>
      <c r="E317" s="3">
        <f>(E315+E316)</f>
        <v>966.43595789473716</v>
      </c>
      <c r="G317" s="3" t="s">
        <v>257</v>
      </c>
      <c r="H317" s="3">
        <f>H315+H316</f>
        <v>555.90134399999999</v>
      </c>
      <c r="I317" s="3"/>
      <c r="J317" s="3" t="s">
        <v>257</v>
      </c>
      <c r="K317" s="3">
        <f>(K315+K316)</f>
        <v>2251.1871911578951</v>
      </c>
      <c r="M317" s="3" t="s">
        <v>257</v>
      </c>
      <c r="N317" s="3">
        <f>N315+N316</f>
        <v>465.04681599999992</v>
      </c>
      <c r="O317" s="3"/>
      <c r="P317" s="3" t="s">
        <v>257</v>
      </c>
      <c r="Q317" s="3">
        <f>(Q315+Q316)</f>
        <v>1779.4486119999999</v>
      </c>
      <c r="S317" s="3" t="s">
        <v>257</v>
      </c>
      <c r="T317" s="3">
        <f>T315+T316</f>
        <v>303.03664000000003</v>
      </c>
      <c r="U317" s="3"/>
      <c r="V317" s="3" t="s">
        <v>257</v>
      </c>
      <c r="W317" s="3">
        <f>(W315+W316)</f>
        <v>966.43595789473716</v>
      </c>
    </row>
    <row r="318" spans="1:23" x14ac:dyDescent="0.25">
      <c r="A318" s="3" t="s">
        <v>258</v>
      </c>
      <c r="B318" s="3"/>
      <c r="C318" s="3"/>
      <c r="D318" s="3" t="s">
        <v>258</v>
      </c>
      <c r="E318" s="3"/>
      <c r="G318" s="3" t="s">
        <v>258</v>
      </c>
      <c r="H318" s="3"/>
      <c r="I318" s="3"/>
      <c r="J318" s="3" t="s">
        <v>258</v>
      </c>
      <c r="K318" s="3"/>
      <c r="M318" s="3" t="s">
        <v>258</v>
      </c>
      <c r="N318" s="3"/>
      <c r="O318" s="3"/>
      <c r="P318" s="3" t="s">
        <v>258</v>
      </c>
      <c r="Q318" s="3"/>
      <c r="S318" s="3" t="s">
        <v>258</v>
      </c>
      <c r="T318" s="3"/>
      <c r="U318" s="3"/>
      <c r="V318" s="3" t="s">
        <v>258</v>
      </c>
      <c r="W318" s="3"/>
    </row>
    <row r="319" spans="1:23" x14ac:dyDescent="0.25">
      <c r="A319" s="3" t="s">
        <v>259</v>
      </c>
      <c r="B319" s="3">
        <f>(B317-B318)</f>
        <v>303.03664000000003</v>
      </c>
      <c r="C319" s="3"/>
      <c r="D319" s="3" t="s">
        <v>259</v>
      </c>
      <c r="E319" s="3">
        <f>(E317-E318)</f>
        <v>966.43595789473716</v>
      </c>
      <c r="G319" s="3" t="s">
        <v>259</v>
      </c>
      <c r="H319" s="3">
        <f>(H317-H318)</f>
        <v>555.90134399999999</v>
      </c>
      <c r="I319" s="3"/>
      <c r="J319" s="3" t="s">
        <v>259</v>
      </c>
      <c r="K319" s="3">
        <f>(K317-K318)</f>
        <v>2251.1871911578951</v>
      </c>
      <c r="M319" s="3" t="s">
        <v>259</v>
      </c>
      <c r="N319" s="3">
        <f>(N317-N318)</f>
        <v>465.04681599999992</v>
      </c>
      <c r="O319" s="3"/>
      <c r="P319" s="3" t="s">
        <v>259</v>
      </c>
      <c r="Q319" s="3">
        <f>(Q317-Q318)</f>
        <v>1779.4486119999999</v>
      </c>
      <c r="S319" s="3" t="s">
        <v>259</v>
      </c>
      <c r="T319" s="3">
        <f>(T317-T318)</f>
        <v>303.03664000000003</v>
      </c>
      <c r="U319" s="3"/>
      <c r="V319" s="3" t="s">
        <v>259</v>
      </c>
      <c r="W319" s="3">
        <f>(W317-W318)</f>
        <v>966.43595789473716</v>
      </c>
    </row>
    <row r="320" spans="1:23" x14ac:dyDescent="0.25">
      <c r="A320" s="3"/>
      <c r="B320" s="3"/>
      <c r="C320" s="3"/>
      <c r="D320" s="3"/>
      <c r="E320" s="3"/>
      <c r="G320" s="3"/>
      <c r="H320" s="3"/>
      <c r="I320" s="3"/>
      <c r="J320" s="3"/>
      <c r="K320" s="3"/>
      <c r="M320" s="3"/>
      <c r="N320" s="3"/>
      <c r="O320" s="3"/>
      <c r="P320" s="3"/>
      <c r="Q320" s="3"/>
      <c r="S320" s="3"/>
      <c r="T320" s="3"/>
      <c r="U320" s="3"/>
      <c r="V320" s="3"/>
      <c r="W320" s="3"/>
    </row>
    <row r="321" spans="1:23" x14ac:dyDescent="0.25">
      <c r="A321" s="3"/>
      <c r="B321" s="3"/>
      <c r="C321" s="3"/>
      <c r="D321" s="3" t="s">
        <v>260</v>
      </c>
      <c r="E321" s="3">
        <f>E319-B319</f>
        <v>663.39931789473712</v>
      </c>
      <c r="G321" s="3"/>
      <c r="H321" s="3"/>
      <c r="I321" s="3"/>
      <c r="J321" s="3" t="s">
        <v>260</v>
      </c>
      <c r="K321" s="3">
        <f>K319-H319</f>
        <v>1695.2858471578952</v>
      </c>
      <c r="M321" s="3"/>
      <c r="N321" s="3"/>
      <c r="O321" s="3"/>
      <c r="P321" s="3" t="s">
        <v>260</v>
      </c>
      <c r="Q321" s="3">
        <f>Q319-N319</f>
        <v>1314.4017960000001</v>
      </c>
      <c r="S321" s="3"/>
      <c r="T321" s="3"/>
      <c r="U321" s="3"/>
      <c r="V321" s="3" t="s">
        <v>260</v>
      </c>
      <c r="W321" s="3">
        <f>W319-T319</f>
        <v>663.39931789473712</v>
      </c>
    </row>
    <row r="324" spans="1:23" ht="18.75" x14ac:dyDescent="0.3">
      <c r="A324" s="95" t="s">
        <v>376</v>
      </c>
      <c r="B324" s="96"/>
      <c r="C324" s="3"/>
      <c r="D324" s="96"/>
      <c r="E324" s="96"/>
      <c r="G324" s="95" t="s">
        <v>377</v>
      </c>
      <c r="H324" s="96"/>
      <c r="I324" s="3"/>
      <c r="J324" s="96"/>
      <c r="K324" s="96"/>
      <c r="M324" s="95" t="s">
        <v>378</v>
      </c>
      <c r="N324" s="96"/>
      <c r="O324" s="3"/>
      <c r="P324" s="96"/>
      <c r="Q324" s="96"/>
      <c r="S324" s="95" t="s">
        <v>379</v>
      </c>
      <c r="T324" s="96"/>
      <c r="U324" s="3"/>
      <c r="V324" s="96"/>
      <c r="W324" s="96"/>
    </row>
    <row r="325" spans="1:23" x14ac:dyDescent="0.25">
      <c r="A325" s="3"/>
      <c r="B325" s="3"/>
      <c r="C325" s="3"/>
      <c r="D325" s="3"/>
      <c r="E325" s="3"/>
      <c r="G325" s="3"/>
      <c r="H325" s="3"/>
      <c r="I325" s="3"/>
      <c r="J325" s="3"/>
      <c r="K325" s="3"/>
      <c r="M325" s="3"/>
      <c r="N325" s="3"/>
      <c r="O325" s="3"/>
      <c r="P325" s="3"/>
      <c r="Q325" s="3"/>
      <c r="S325" s="3"/>
      <c r="T325" s="3"/>
      <c r="U325" s="3"/>
      <c r="V325" s="3"/>
      <c r="W325" s="3"/>
    </row>
    <row r="326" spans="1:23" x14ac:dyDescent="0.25">
      <c r="A326" s="3"/>
      <c r="B326" s="3"/>
      <c r="C326" s="3"/>
      <c r="D326" s="3" t="s">
        <v>249</v>
      </c>
      <c r="E326" s="3">
        <f>B328</f>
        <v>8710</v>
      </c>
      <c r="G326" s="3"/>
      <c r="H326" s="3"/>
      <c r="I326" s="3"/>
      <c r="J326" s="3" t="s">
        <v>249</v>
      </c>
      <c r="K326" s="3">
        <f>H328</f>
        <v>7551.28</v>
      </c>
      <c r="M326" s="3"/>
      <c r="N326" s="3"/>
      <c r="O326" s="3"/>
      <c r="P326" s="3" t="s">
        <v>249</v>
      </c>
      <c r="Q326" s="3">
        <f>N328</f>
        <v>9814.16</v>
      </c>
      <c r="S326" s="3"/>
      <c r="T326" s="3"/>
      <c r="U326" s="3"/>
      <c r="V326" s="3" t="s">
        <v>249</v>
      </c>
      <c r="W326" s="3">
        <f>T328</f>
        <v>8507.26</v>
      </c>
    </row>
    <row r="327" spans="1:23" x14ac:dyDescent="0.25">
      <c r="A327" s="3"/>
      <c r="B327" s="3"/>
      <c r="C327" s="3"/>
      <c r="D327" s="3" t="s">
        <v>250</v>
      </c>
      <c r="E327" s="3">
        <v>11439.057894736843</v>
      </c>
      <c r="G327" s="3"/>
      <c r="H327" s="3"/>
      <c r="I327" s="3"/>
      <c r="J327" s="3" t="s">
        <v>250</v>
      </c>
      <c r="K327" s="3">
        <v>9533.2684210526313</v>
      </c>
      <c r="M327" s="3"/>
      <c r="N327" s="3"/>
      <c r="O327" s="3"/>
      <c r="P327" s="3" t="s">
        <v>250</v>
      </c>
      <c r="Q327" s="3">
        <v>13255.11052631579</v>
      </c>
      <c r="S327" s="3"/>
      <c r="T327" s="3"/>
      <c r="U327" s="3"/>
      <c r="V327" s="3" t="s">
        <v>250</v>
      </c>
      <c r="W327" s="3">
        <v>11105.60394736842</v>
      </c>
    </row>
    <row r="328" spans="1:23" x14ac:dyDescent="0.25">
      <c r="A328" s="3" t="s">
        <v>249</v>
      </c>
      <c r="B328" s="3">
        <f>4355*2</f>
        <v>8710</v>
      </c>
      <c r="C328" s="3"/>
      <c r="D328" s="3" t="s">
        <v>251</v>
      </c>
      <c r="E328" s="3">
        <f>E326+E327</f>
        <v>20149.057894736841</v>
      </c>
      <c r="G328" s="3" t="s">
        <v>249</v>
      </c>
      <c r="H328" s="3">
        <f>3775.64*2</f>
        <v>7551.28</v>
      </c>
      <c r="I328" s="3"/>
      <c r="J328" s="3" t="s">
        <v>251</v>
      </c>
      <c r="K328" s="3">
        <f>K326+K327</f>
        <v>17084.54842105263</v>
      </c>
      <c r="M328" s="3" t="s">
        <v>249</v>
      </c>
      <c r="N328" s="3">
        <f>4907.08*2</f>
        <v>9814.16</v>
      </c>
      <c r="O328" s="3"/>
      <c r="P328" s="3" t="s">
        <v>251</v>
      </c>
      <c r="Q328" s="3">
        <f>Q326+Q327</f>
        <v>23069.270526315791</v>
      </c>
      <c r="S328" s="3" t="s">
        <v>249</v>
      </c>
      <c r="T328" s="3">
        <f>4253.63*2</f>
        <v>8507.26</v>
      </c>
      <c r="U328" s="3"/>
      <c r="V328" s="3" t="s">
        <v>251</v>
      </c>
      <c r="W328" s="3">
        <f>W326+W327</f>
        <v>19612.86394736842</v>
      </c>
    </row>
    <row r="329" spans="1:23" x14ac:dyDescent="0.25">
      <c r="A329" s="3" t="s">
        <v>252</v>
      </c>
      <c r="B329" s="3">
        <v>5470.93</v>
      </c>
      <c r="C329" s="3"/>
      <c r="D329" s="3" t="s">
        <v>252</v>
      </c>
      <c r="E329" s="3">
        <v>13381.48</v>
      </c>
      <c r="G329" s="3" t="s">
        <v>252</v>
      </c>
      <c r="H329" s="3">
        <v>5470.93</v>
      </c>
      <c r="I329" s="3"/>
      <c r="J329" s="3" t="s">
        <v>252</v>
      </c>
      <c r="K329" s="3">
        <v>13381.48</v>
      </c>
      <c r="M329" s="3" t="s">
        <v>252</v>
      </c>
      <c r="N329" s="3">
        <v>9614.67</v>
      </c>
      <c r="O329" s="3"/>
      <c r="P329" s="3" t="s">
        <v>252</v>
      </c>
      <c r="Q329" s="3">
        <v>13381.48</v>
      </c>
      <c r="S329" s="3" t="s">
        <v>252</v>
      </c>
      <c r="T329" s="3">
        <v>5470.93</v>
      </c>
      <c r="U329" s="3"/>
      <c r="V329" s="3" t="s">
        <v>252</v>
      </c>
      <c r="W329" s="3">
        <v>13381.48</v>
      </c>
    </row>
    <row r="330" spans="1:23" x14ac:dyDescent="0.25">
      <c r="A330" s="3" t="s">
        <v>253</v>
      </c>
      <c r="B330" s="3">
        <f>B328-B329</f>
        <v>3239.0699999999997</v>
      </c>
      <c r="C330" s="3"/>
      <c r="D330" s="3" t="s">
        <v>253</v>
      </c>
      <c r="E330" s="3">
        <f>(E328-E329)</f>
        <v>6767.5778947368417</v>
      </c>
      <c r="G330" s="3" t="s">
        <v>253</v>
      </c>
      <c r="H330" s="3">
        <f>H328-H329</f>
        <v>2080.3499999999995</v>
      </c>
      <c r="I330" s="3"/>
      <c r="J330" s="3" t="s">
        <v>253</v>
      </c>
      <c r="K330" s="3">
        <f>(K328-K329)</f>
        <v>3703.0684210526306</v>
      </c>
      <c r="M330" s="3" t="s">
        <v>253</v>
      </c>
      <c r="N330" s="3">
        <f>N328-N329</f>
        <v>199.48999999999978</v>
      </c>
      <c r="O330" s="3"/>
      <c r="P330" s="3" t="s">
        <v>253</v>
      </c>
      <c r="Q330" s="3">
        <f>(Q328-Q329)</f>
        <v>9687.7905263157918</v>
      </c>
      <c r="S330" s="3" t="s">
        <v>253</v>
      </c>
      <c r="T330" s="3">
        <f>T328-T329</f>
        <v>3036.33</v>
      </c>
      <c r="U330" s="3"/>
      <c r="V330" s="3" t="s">
        <v>253</v>
      </c>
      <c r="W330" s="3">
        <f>(W328-W329)</f>
        <v>6231.3839473684202</v>
      </c>
    </row>
    <row r="331" spans="1:23" x14ac:dyDescent="0.25">
      <c r="A331" s="3" t="s">
        <v>254</v>
      </c>
      <c r="B331" s="5">
        <v>0.10879999999999999</v>
      </c>
      <c r="C331" s="3"/>
      <c r="D331" s="3" t="s">
        <v>254</v>
      </c>
      <c r="E331" s="5">
        <v>0.21360000000000001</v>
      </c>
      <c r="G331" s="3" t="s">
        <v>254</v>
      </c>
      <c r="H331" s="5">
        <v>0.10879999999999999</v>
      </c>
      <c r="I331" s="3"/>
      <c r="J331" s="3" t="s">
        <v>254</v>
      </c>
      <c r="K331" s="5">
        <v>0.21360000000000001</v>
      </c>
      <c r="M331" s="3" t="s">
        <v>254</v>
      </c>
      <c r="N331" s="5">
        <v>0.16</v>
      </c>
      <c r="O331" s="3"/>
      <c r="P331" s="3" t="s">
        <v>254</v>
      </c>
      <c r="Q331" s="5">
        <v>0.21360000000000001</v>
      </c>
      <c r="S331" s="3" t="s">
        <v>254</v>
      </c>
      <c r="T331" s="5">
        <v>0.10879999999999999</v>
      </c>
      <c r="U331" s="3"/>
      <c r="V331" s="3" t="s">
        <v>254</v>
      </c>
      <c r="W331" s="5">
        <v>0.21360000000000001</v>
      </c>
    </row>
    <row r="332" spans="1:23" x14ac:dyDescent="0.25">
      <c r="A332" s="3" t="s">
        <v>255</v>
      </c>
      <c r="B332" s="3">
        <f>B330*B331</f>
        <v>352.41081599999995</v>
      </c>
      <c r="C332" s="3"/>
      <c r="D332" s="3" t="s">
        <v>255</v>
      </c>
      <c r="E332" s="3">
        <f>(E330*E331)</f>
        <v>1445.5546383157894</v>
      </c>
      <c r="G332" s="3" t="s">
        <v>255</v>
      </c>
      <c r="H332" s="3">
        <f>H330*H331</f>
        <v>226.34207999999992</v>
      </c>
      <c r="I332" s="3"/>
      <c r="J332" s="3" t="s">
        <v>255</v>
      </c>
      <c r="K332" s="3">
        <f>(K330*K331)</f>
        <v>790.97541473684191</v>
      </c>
      <c r="M332" s="3" t="s">
        <v>255</v>
      </c>
      <c r="N332" s="3">
        <f>N330*N331</f>
        <v>31.918399999999966</v>
      </c>
      <c r="O332" s="3"/>
      <c r="P332" s="3" t="s">
        <v>255</v>
      </c>
      <c r="Q332" s="3">
        <f>(Q330*Q331)</f>
        <v>2069.3120564210531</v>
      </c>
      <c r="S332" s="3" t="s">
        <v>255</v>
      </c>
      <c r="T332" s="3">
        <f>T330*T331</f>
        <v>330.35270399999996</v>
      </c>
      <c r="U332" s="3"/>
      <c r="V332" s="3" t="s">
        <v>255</v>
      </c>
      <c r="W332" s="3">
        <f>(W330*W331)</f>
        <v>1331.0236111578947</v>
      </c>
    </row>
    <row r="333" spans="1:23" x14ac:dyDescent="0.25">
      <c r="A333" s="3" t="s">
        <v>256</v>
      </c>
      <c r="B333" s="3">
        <v>321.26</v>
      </c>
      <c r="C333" s="3"/>
      <c r="D333" s="3" t="s">
        <v>256</v>
      </c>
      <c r="E333" s="3">
        <v>1417.12</v>
      </c>
      <c r="G333" s="3" t="s">
        <v>256</v>
      </c>
      <c r="H333" s="3">
        <v>321.26</v>
      </c>
      <c r="I333" s="3"/>
      <c r="J333" s="3" t="s">
        <v>256</v>
      </c>
      <c r="K333" s="3">
        <v>1417.12</v>
      </c>
      <c r="M333" s="3" t="s">
        <v>256</v>
      </c>
      <c r="N333" s="3">
        <v>772.1</v>
      </c>
      <c r="O333" s="3"/>
      <c r="P333" s="3" t="s">
        <v>256</v>
      </c>
      <c r="Q333" s="3">
        <v>1417.12</v>
      </c>
      <c r="S333" s="3" t="s">
        <v>256</v>
      </c>
      <c r="T333" s="3">
        <v>321.26</v>
      </c>
      <c r="U333" s="3"/>
      <c r="V333" s="3" t="s">
        <v>256</v>
      </c>
      <c r="W333" s="3">
        <v>1417.12</v>
      </c>
    </row>
    <row r="334" spans="1:23" x14ac:dyDescent="0.25">
      <c r="A334" s="3" t="s">
        <v>257</v>
      </c>
      <c r="B334" s="3">
        <f>B332+B333</f>
        <v>673.67081599999995</v>
      </c>
      <c r="C334" s="3"/>
      <c r="D334" s="3" t="s">
        <v>257</v>
      </c>
      <c r="E334" s="3">
        <f>(E332+E333)</f>
        <v>2862.6746383157893</v>
      </c>
      <c r="G334" s="3" t="s">
        <v>257</v>
      </c>
      <c r="H334" s="3">
        <f>H332+H333</f>
        <v>547.60207999999989</v>
      </c>
      <c r="I334" s="3"/>
      <c r="J334" s="3" t="s">
        <v>257</v>
      </c>
      <c r="K334" s="3">
        <f>(K332+K333)</f>
        <v>2208.095414736842</v>
      </c>
      <c r="M334" s="3" t="s">
        <v>257</v>
      </c>
      <c r="N334" s="3">
        <f>N332+N333</f>
        <v>804.01840000000004</v>
      </c>
      <c r="O334" s="3"/>
      <c r="P334" s="3" t="s">
        <v>257</v>
      </c>
      <c r="Q334" s="3">
        <f>(Q332+Q333)</f>
        <v>3486.4320564210529</v>
      </c>
      <c r="S334" s="3" t="s">
        <v>257</v>
      </c>
      <c r="T334" s="3">
        <f>T332+T333</f>
        <v>651.61270399999989</v>
      </c>
      <c r="U334" s="3"/>
      <c r="V334" s="3" t="s">
        <v>257</v>
      </c>
      <c r="W334" s="3">
        <f>(W332+W333)</f>
        <v>2748.1436111578946</v>
      </c>
    </row>
    <row r="335" spans="1:23" x14ac:dyDescent="0.25">
      <c r="A335" s="3" t="s">
        <v>258</v>
      </c>
      <c r="B335" s="3"/>
      <c r="C335" s="3"/>
      <c r="D335" s="3" t="s">
        <v>258</v>
      </c>
      <c r="E335" s="3"/>
      <c r="G335" s="3" t="s">
        <v>258</v>
      </c>
      <c r="H335" s="3"/>
      <c r="I335" s="3"/>
      <c r="J335" s="3" t="s">
        <v>258</v>
      </c>
      <c r="K335" s="3"/>
      <c r="M335" s="3" t="s">
        <v>258</v>
      </c>
      <c r="N335" s="3"/>
      <c r="O335" s="3"/>
      <c r="P335" s="3" t="s">
        <v>258</v>
      </c>
      <c r="Q335" s="3"/>
      <c r="S335" s="3" t="s">
        <v>258</v>
      </c>
      <c r="T335" s="3"/>
      <c r="U335" s="3"/>
      <c r="V335" s="3" t="s">
        <v>258</v>
      </c>
      <c r="W335" s="3"/>
    </row>
    <row r="336" spans="1:23" x14ac:dyDescent="0.25">
      <c r="A336" s="3" t="s">
        <v>259</v>
      </c>
      <c r="B336" s="3">
        <f>(B334-B335)</f>
        <v>673.67081599999995</v>
      </c>
      <c r="C336" s="3"/>
      <c r="D336" s="3" t="s">
        <v>259</v>
      </c>
      <c r="E336" s="3">
        <f>(E334-E335)</f>
        <v>2862.6746383157893</v>
      </c>
      <c r="G336" s="3" t="s">
        <v>259</v>
      </c>
      <c r="H336" s="3">
        <f>(H334-H335)</f>
        <v>547.60207999999989</v>
      </c>
      <c r="I336" s="3"/>
      <c r="J336" s="3" t="s">
        <v>259</v>
      </c>
      <c r="K336" s="3">
        <f>(K334-K335)</f>
        <v>2208.095414736842</v>
      </c>
      <c r="M336" s="3" t="s">
        <v>259</v>
      </c>
      <c r="N336" s="3">
        <f>(N334-N335)</f>
        <v>804.01840000000004</v>
      </c>
      <c r="O336" s="3"/>
      <c r="P336" s="3" t="s">
        <v>259</v>
      </c>
      <c r="Q336" s="3">
        <f>(Q334-Q335)</f>
        <v>3486.4320564210529</v>
      </c>
      <c r="S336" s="3" t="s">
        <v>259</v>
      </c>
      <c r="T336" s="3">
        <f>(T334-T335)</f>
        <v>651.61270399999989</v>
      </c>
      <c r="U336" s="3"/>
      <c r="V336" s="3" t="s">
        <v>259</v>
      </c>
      <c r="W336" s="3">
        <f>(W334-W335)</f>
        <v>2748.1436111578946</v>
      </c>
    </row>
    <row r="337" spans="1:23" x14ac:dyDescent="0.25">
      <c r="A337" s="3"/>
      <c r="B337" s="3"/>
      <c r="C337" s="3"/>
      <c r="D337" s="3"/>
      <c r="E337" s="3"/>
      <c r="G337" s="3"/>
      <c r="H337" s="3"/>
      <c r="I337" s="3"/>
      <c r="J337" s="3"/>
      <c r="K337" s="3"/>
      <c r="M337" s="3"/>
      <c r="N337" s="3"/>
      <c r="O337" s="3"/>
      <c r="P337" s="3"/>
      <c r="Q337" s="3"/>
      <c r="S337" s="3"/>
      <c r="T337" s="3"/>
      <c r="U337" s="3"/>
      <c r="V337" s="3"/>
      <c r="W337" s="3"/>
    </row>
    <row r="338" spans="1:23" x14ac:dyDescent="0.25">
      <c r="A338" s="3"/>
      <c r="B338" s="3"/>
      <c r="C338" s="3"/>
      <c r="D338" s="3" t="s">
        <v>260</v>
      </c>
      <c r="E338" s="3">
        <f>E336-B336</f>
        <v>2189.0038223157894</v>
      </c>
      <c r="G338" s="3"/>
      <c r="H338" s="3"/>
      <c r="I338" s="3"/>
      <c r="J338" s="3" t="s">
        <v>260</v>
      </c>
      <c r="K338" s="3">
        <f>K336-H336</f>
        <v>1660.4933347368421</v>
      </c>
      <c r="M338" s="3"/>
      <c r="N338" s="3"/>
      <c r="O338" s="3"/>
      <c r="P338" s="3" t="s">
        <v>260</v>
      </c>
      <c r="Q338" s="3">
        <f>Q336-N336</f>
        <v>2682.413656421053</v>
      </c>
      <c r="S338" s="3"/>
      <c r="T338" s="3"/>
      <c r="U338" s="3"/>
      <c r="V338" s="3" t="s">
        <v>260</v>
      </c>
      <c r="W338" s="3">
        <f>W336-T336</f>
        <v>2096.5309071578949</v>
      </c>
    </row>
    <row r="341" spans="1:23" ht="18.75" x14ac:dyDescent="0.3">
      <c r="A341" s="95" t="s">
        <v>380</v>
      </c>
      <c r="B341" s="96"/>
      <c r="C341" s="3"/>
      <c r="D341" s="96"/>
      <c r="E341" s="96"/>
      <c r="G341" s="95" t="s">
        <v>381</v>
      </c>
      <c r="H341" s="96"/>
      <c r="I341" s="3"/>
      <c r="J341" s="96"/>
      <c r="K341" s="96"/>
      <c r="M341" s="95" t="s">
        <v>382</v>
      </c>
      <c r="N341" s="96"/>
      <c r="O341" s="3"/>
      <c r="P341" s="96"/>
      <c r="Q341" s="96"/>
    </row>
    <row r="342" spans="1:23" x14ac:dyDescent="0.25">
      <c r="A342" s="3"/>
      <c r="B342" s="3"/>
      <c r="C342" s="3"/>
      <c r="D342" s="3"/>
      <c r="E342" s="3"/>
      <c r="G342" s="3"/>
      <c r="H342" s="3"/>
      <c r="I342" s="3"/>
      <c r="J342" s="3"/>
      <c r="K342" s="3"/>
      <c r="M342" s="3"/>
      <c r="N342" s="3"/>
      <c r="O342" s="3"/>
      <c r="P342" s="3"/>
      <c r="Q342" s="3"/>
    </row>
    <row r="343" spans="1:23" x14ac:dyDescent="0.25">
      <c r="A343" s="3"/>
      <c r="B343" s="3"/>
      <c r="C343" s="3"/>
      <c r="D343" s="3" t="s">
        <v>249</v>
      </c>
      <c r="E343" s="3">
        <f>B345</f>
        <v>6650.38</v>
      </c>
      <c r="G343" s="3"/>
      <c r="H343" s="3"/>
      <c r="I343" s="3"/>
      <c r="J343" s="3" t="s">
        <v>249</v>
      </c>
      <c r="K343" s="3">
        <f>H345</f>
        <v>8491.56</v>
      </c>
      <c r="M343" s="3"/>
      <c r="N343" s="3"/>
      <c r="O343" s="3"/>
      <c r="P343" s="3" t="s">
        <v>249</v>
      </c>
      <c r="Q343" s="3">
        <f>N345</f>
        <v>5186.1000000000004</v>
      </c>
    </row>
    <row r="344" spans="1:23" x14ac:dyDescent="0.25">
      <c r="A344" s="3"/>
      <c r="B344" s="3"/>
      <c r="C344" s="3"/>
      <c r="D344" s="3" t="s">
        <v>250</v>
      </c>
      <c r="E344" s="3"/>
      <c r="G344" s="3"/>
      <c r="H344" s="3"/>
      <c r="I344" s="3"/>
      <c r="J344" s="3" t="s">
        <v>250</v>
      </c>
      <c r="K344" s="3">
        <v>11079.781578947368</v>
      </c>
      <c r="M344" s="3"/>
      <c r="N344" s="3"/>
      <c r="O344" s="3"/>
      <c r="P344" s="3" t="s">
        <v>250</v>
      </c>
      <c r="Q344" s="3">
        <v>5643.1697368421064</v>
      </c>
    </row>
    <row r="345" spans="1:23" x14ac:dyDescent="0.25">
      <c r="A345" s="3" t="s">
        <v>249</v>
      </c>
      <c r="B345" s="3">
        <f>3325.19*2</f>
        <v>6650.38</v>
      </c>
      <c r="C345" s="3"/>
      <c r="D345" s="3" t="s">
        <v>251</v>
      </c>
      <c r="E345" s="3">
        <f>E343+E344</f>
        <v>6650.38</v>
      </c>
      <c r="G345" s="3" t="s">
        <v>249</v>
      </c>
      <c r="H345" s="3">
        <f>4245.78*2</f>
        <v>8491.56</v>
      </c>
      <c r="I345" s="3"/>
      <c r="J345" s="3" t="s">
        <v>251</v>
      </c>
      <c r="K345" s="3">
        <f>K343+K344</f>
        <v>19571.341578947366</v>
      </c>
      <c r="M345" s="3" t="s">
        <v>249</v>
      </c>
      <c r="N345" s="3">
        <f>2593.05*2</f>
        <v>5186.1000000000004</v>
      </c>
      <c r="O345" s="3"/>
      <c r="P345" s="3" t="s">
        <v>251</v>
      </c>
      <c r="Q345" s="3">
        <f>Q343+Q344</f>
        <v>10829.269736842107</v>
      </c>
    </row>
    <row r="346" spans="1:23" x14ac:dyDescent="0.25">
      <c r="A346" s="3" t="s">
        <v>252</v>
      </c>
      <c r="B346" s="3">
        <v>5470.93</v>
      </c>
      <c r="C346" s="3"/>
      <c r="D346" s="3" t="s">
        <v>252</v>
      </c>
      <c r="E346" s="3">
        <v>13381.48</v>
      </c>
      <c r="G346" s="3" t="s">
        <v>252</v>
      </c>
      <c r="H346" s="3">
        <v>5470.93</v>
      </c>
      <c r="I346" s="3"/>
      <c r="J346" s="3" t="s">
        <v>252</v>
      </c>
      <c r="K346" s="3">
        <v>13381.48</v>
      </c>
      <c r="M346" s="3" t="s">
        <v>252</v>
      </c>
      <c r="N346" s="3">
        <v>644.59</v>
      </c>
      <c r="O346" s="3"/>
      <c r="P346" s="3" t="s">
        <v>252</v>
      </c>
      <c r="Q346" s="3">
        <v>9614.67</v>
      </c>
    </row>
    <row r="347" spans="1:23" x14ac:dyDescent="0.25">
      <c r="A347" s="3" t="s">
        <v>253</v>
      </c>
      <c r="B347" s="3">
        <f>B345-B346</f>
        <v>1179.4499999999998</v>
      </c>
      <c r="C347" s="3"/>
      <c r="D347" s="3" t="s">
        <v>253</v>
      </c>
      <c r="E347" s="3">
        <f>(E345-E346)</f>
        <v>-6731.0999999999995</v>
      </c>
      <c r="G347" s="3" t="s">
        <v>253</v>
      </c>
      <c r="H347" s="3">
        <f>H345-H346</f>
        <v>3020.6299999999992</v>
      </c>
      <c r="I347" s="3"/>
      <c r="J347" s="3" t="s">
        <v>253</v>
      </c>
      <c r="K347" s="3">
        <f>(K345-K346)</f>
        <v>6189.8615789473661</v>
      </c>
      <c r="M347" s="3" t="s">
        <v>253</v>
      </c>
      <c r="N347" s="3">
        <f>N345-N346</f>
        <v>4541.51</v>
      </c>
      <c r="O347" s="3"/>
      <c r="P347" s="3" t="s">
        <v>253</v>
      </c>
      <c r="Q347" s="3">
        <f>(Q345-Q346)</f>
        <v>1214.5997368421067</v>
      </c>
    </row>
    <row r="348" spans="1:23" x14ac:dyDescent="0.25">
      <c r="A348" s="3" t="s">
        <v>254</v>
      </c>
      <c r="B348" s="5">
        <v>0.10879999999999999</v>
      </c>
      <c r="C348" s="3"/>
      <c r="D348" s="3" t="s">
        <v>254</v>
      </c>
      <c r="E348" s="5">
        <v>0.21360000000000001</v>
      </c>
      <c r="G348" s="3" t="s">
        <v>254</v>
      </c>
      <c r="H348" s="5">
        <v>0.10879999999999999</v>
      </c>
      <c r="I348" s="3"/>
      <c r="J348" s="3" t="s">
        <v>254</v>
      </c>
      <c r="K348" s="5">
        <v>0.21360000000000001</v>
      </c>
      <c r="M348" s="3" t="s">
        <v>254</v>
      </c>
      <c r="N348" s="5">
        <v>6.4000000000000001E-2</v>
      </c>
      <c r="O348" s="3"/>
      <c r="P348" s="3" t="s">
        <v>254</v>
      </c>
      <c r="Q348" s="5">
        <v>0.16</v>
      </c>
    </row>
    <row r="349" spans="1:23" x14ac:dyDescent="0.25">
      <c r="A349" s="3" t="s">
        <v>255</v>
      </c>
      <c r="B349" s="3">
        <f>B347*B348</f>
        <v>128.32415999999998</v>
      </c>
      <c r="C349" s="3"/>
      <c r="D349" s="3" t="s">
        <v>255</v>
      </c>
      <c r="E349" s="3">
        <f>(E347*E348)</f>
        <v>-1437.76296</v>
      </c>
      <c r="G349" s="3" t="s">
        <v>255</v>
      </c>
      <c r="H349" s="3">
        <f>H347*H348</f>
        <v>328.64454399999988</v>
      </c>
      <c r="I349" s="3"/>
      <c r="J349" s="3" t="s">
        <v>255</v>
      </c>
      <c r="K349" s="3">
        <f>(K347*K348)</f>
        <v>1322.1544332631574</v>
      </c>
      <c r="M349" s="3" t="s">
        <v>255</v>
      </c>
      <c r="N349" s="3">
        <f>N347*N348</f>
        <v>290.65664000000004</v>
      </c>
      <c r="O349" s="3"/>
      <c r="P349" s="3" t="s">
        <v>255</v>
      </c>
      <c r="Q349" s="3">
        <f>(Q347*Q348)</f>
        <v>194.33595789473708</v>
      </c>
    </row>
    <row r="350" spans="1:23" x14ac:dyDescent="0.25">
      <c r="A350" s="3" t="s">
        <v>256</v>
      </c>
      <c r="B350" s="3">
        <v>321.26</v>
      </c>
      <c r="C350" s="3"/>
      <c r="D350" s="3" t="s">
        <v>256</v>
      </c>
      <c r="E350" s="3">
        <v>1417.12</v>
      </c>
      <c r="G350" s="3" t="s">
        <v>256</v>
      </c>
      <c r="H350" s="3">
        <v>321.26</v>
      </c>
      <c r="I350" s="3"/>
      <c r="J350" s="3" t="s">
        <v>256</v>
      </c>
      <c r="K350" s="3">
        <v>1417.12</v>
      </c>
      <c r="M350" s="3" t="s">
        <v>256</v>
      </c>
      <c r="N350" s="3">
        <v>12.38</v>
      </c>
      <c r="O350" s="3"/>
      <c r="P350" s="3" t="s">
        <v>256</v>
      </c>
      <c r="Q350" s="3">
        <v>772.1</v>
      </c>
    </row>
    <row r="351" spans="1:23" x14ac:dyDescent="0.25">
      <c r="A351" s="3" t="s">
        <v>257</v>
      </c>
      <c r="B351" s="3">
        <f>B349+B350</f>
        <v>449.58416</v>
      </c>
      <c r="C351" s="3"/>
      <c r="D351" s="3" t="s">
        <v>257</v>
      </c>
      <c r="E351" s="3">
        <f>(E349+E350)</f>
        <v>-20.64296000000013</v>
      </c>
      <c r="G351" s="3" t="s">
        <v>257</v>
      </c>
      <c r="H351" s="3">
        <f>H349+H350</f>
        <v>649.90454399999987</v>
      </c>
      <c r="I351" s="3"/>
      <c r="J351" s="3" t="s">
        <v>257</v>
      </c>
      <c r="K351" s="3">
        <f>(K349+K350)</f>
        <v>2739.2744332631573</v>
      </c>
      <c r="M351" s="3" t="s">
        <v>257</v>
      </c>
      <c r="N351" s="3">
        <f>N349+N350</f>
        <v>303.03664000000003</v>
      </c>
      <c r="O351" s="3"/>
      <c r="P351" s="3" t="s">
        <v>257</v>
      </c>
      <c r="Q351" s="3">
        <f>(Q349+Q350)</f>
        <v>966.43595789473716</v>
      </c>
    </row>
    <row r="352" spans="1:23" x14ac:dyDescent="0.25">
      <c r="A352" s="3" t="s">
        <v>258</v>
      </c>
      <c r="B352" s="3"/>
      <c r="C352" s="3"/>
      <c r="D352" s="3" t="s">
        <v>258</v>
      </c>
      <c r="E352" s="3"/>
      <c r="G352" s="3" t="s">
        <v>258</v>
      </c>
      <c r="H352" s="3"/>
      <c r="I352" s="3"/>
      <c r="J352" s="3" t="s">
        <v>258</v>
      </c>
      <c r="K352" s="3"/>
      <c r="M352" s="3" t="s">
        <v>258</v>
      </c>
      <c r="N352" s="3"/>
      <c r="O352" s="3"/>
      <c r="P352" s="3" t="s">
        <v>258</v>
      </c>
      <c r="Q352" s="3"/>
    </row>
    <row r="353" spans="1:17" x14ac:dyDescent="0.25">
      <c r="A353" s="3" t="s">
        <v>259</v>
      </c>
      <c r="B353" s="3">
        <f>(B351-B352)</f>
        <v>449.58416</v>
      </c>
      <c r="C353" s="3"/>
      <c r="D353" s="3" t="s">
        <v>259</v>
      </c>
      <c r="E353" s="3">
        <f>(E351-E352)</f>
        <v>-20.64296000000013</v>
      </c>
      <c r="G353" s="3" t="s">
        <v>259</v>
      </c>
      <c r="H353" s="3">
        <f>(H351-H352)</f>
        <v>649.90454399999987</v>
      </c>
      <c r="I353" s="3"/>
      <c r="J353" s="3" t="s">
        <v>259</v>
      </c>
      <c r="K353" s="3">
        <f>(K351-K352)</f>
        <v>2739.2744332631573</v>
      </c>
      <c r="M353" s="3" t="s">
        <v>259</v>
      </c>
      <c r="N353" s="3">
        <f>(N351-N352)</f>
        <v>303.03664000000003</v>
      </c>
      <c r="O353" s="3"/>
      <c r="P353" s="3" t="s">
        <v>259</v>
      </c>
      <c r="Q353" s="3">
        <f>(Q351-Q352)</f>
        <v>966.43595789473716</v>
      </c>
    </row>
    <row r="354" spans="1:17" x14ac:dyDescent="0.25">
      <c r="A354" s="3"/>
      <c r="B354" s="3"/>
      <c r="C354" s="3"/>
      <c r="D354" s="3"/>
      <c r="E354" s="3"/>
      <c r="G354" s="3"/>
      <c r="H354" s="3"/>
      <c r="I354" s="3"/>
      <c r="J354" s="3"/>
      <c r="K354" s="3"/>
      <c r="M354" s="3"/>
      <c r="N354" s="3"/>
      <c r="O354" s="3"/>
      <c r="P354" s="3"/>
      <c r="Q354" s="3"/>
    </row>
    <row r="355" spans="1:17" x14ac:dyDescent="0.25">
      <c r="A355" s="3"/>
      <c r="B355" s="3"/>
      <c r="C355" s="3"/>
      <c r="D355" s="3" t="s">
        <v>260</v>
      </c>
      <c r="E355" s="3">
        <f>E353-B353</f>
        <v>-470.22712000000013</v>
      </c>
      <c r="G355" s="3"/>
      <c r="H355" s="3"/>
      <c r="I355" s="3"/>
      <c r="J355" s="3" t="s">
        <v>260</v>
      </c>
      <c r="K355" s="3">
        <f>K353-H353</f>
        <v>2089.3698892631573</v>
      </c>
      <c r="M355" s="3"/>
      <c r="N355" s="3"/>
      <c r="O355" s="3"/>
      <c r="P355" s="3" t="s">
        <v>260</v>
      </c>
      <c r="Q355" s="3">
        <f>Q353-N353</f>
        <v>663.39931789473712</v>
      </c>
    </row>
    <row r="359" spans="1:17" ht="18.75" x14ac:dyDescent="0.3">
      <c r="A359" s="95" t="s">
        <v>381</v>
      </c>
      <c r="B359" s="96"/>
      <c r="C359" s="3"/>
      <c r="D359" s="96"/>
      <c r="E359" s="96"/>
      <c r="G359" s="95" t="s">
        <v>429</v>
      </c>
      <c r="H359" s="96"/>
      <c r="I359" s="3"/>
      <c r="J359" s="96"/>
      <c r="K359" s="96"/>
      <c r="M359" s="95" t="s">
        <v>429</v>
      </c>
      <c r="N359" s="96"/>
      <c r="O359" s="3"/>
      <c r="P359" s="96"/>
      <c r="Q359" s="96"/>
    </row>
    <row r="360" spans="1:17" x14ac:dyDescent="0.25">
      <c r="A360" s="3"/>
      <c r="B360" s="3"/>
      <c r="C360" s="3"/>
      <c r="D360" s="3"/>
      <c r="E360" s="3"/>
      <c r="G360" s="3"/>
      <c r="H360" s="3"/>
      <c r="I360" s="3"/>
      <c r="J360" s="3"/>
      <c r="K360" s="3"/>
      <c r="M360" s="3"/>
      <c r="N360" s="3"/>
      <c r="O360" s="3"/>
      <c r="P360" s="3"/>
      <c r="Q360" s="3"/>
    </row>
    <row r="361" spans="1:17" x14ac:dyDescent="0.25">
      <c r="A361" s="3"/>
      <c r="B361" s="3"/>
      <c r="C361" s="3"/>
      <c r="D361" s="3" t="s">
        <v>249</v>
      </c>
      <c r="E361" s="3">
        <f>B363</f>
        <v>7786.92</v>
      </c>
      <c r="G361" s="3"/>
      <c r="H361" s="3"/>
      <c r="I361" s="3"/>
      <c r="J361" s="3" t="s">
        <v>249</v>
      </c>
      <c r="K361" s="3">
        <f>H363</f>
        <v>8224.5400000000009</v>
      </c>
      <c r="M361" s="3"/>
      <c r="N361" s="3"/>
      <c r="O361" s="3"/>
      <c r="P361" s="3" t="s">
        <v>249</v>
      </c>
      <c r="Q361" s="3">
        <f>N363</f>
        <v>12222.36</v>
      </c>
    </row>
    <row r="362" spans="1:17" x14ac:dyDescent="0.25">
      <c r="A362" s="3"/>
      <c r="B362" s="3"/>
      <c r="C362" s="3"/>
      <c r="D362" s="3" t="s">
        <v>250</v>
      </c>
      <c r="E362" s="3">
        <v>7827.9458976207643</v>
      </c>
      <c r="G362" s="3"/>
      <c r="H362" s="3"/>
      <c r="I362" s="3"/>
      <c r="J362" s="3" t="s">
        <v>250</v>
      </c>
      <c r="K362" s="3">
        <v>6617.5810850757043</v>
      </c>
      <c r="M362" s="3"/>
      <c r="N362" s="3"/>
      <c r="O362" s="3"/>
      <c r="P362" s="3" t="s">
        <v>250</v>
      </c>
      <c r="Q362" s="3">
        <v>6509.0500793078591</v>
      </c>
    </row>
    <row r="363" spans="1:17" x14ac:dyDescent="0.25">
      <c r="A363" s="3" t="s">
        <v>249</v>
      </c>
      <c r="B363" s="3">
        <f>3893.46*2</f>
        <v>7786.92</v>
      </c>
      <c r="C363" s="3"/>
      <c r="D363" s="3" t="s">
        <v>251</v>
      </c>
      <c r="E363" s="3">
        <f>E361+E362</f>
        <v>15614.865897620764</v>
      </c>
      <c r="G363" s="3" t="s">
        <v>249</v>
      </c>
      <c r="H363" s="3">
        <f>4112.27*2</f>
        <v>8224.5400000000009</v>
      </c>
      <c r="I363" s="3"/>
      <c r="J363" s="3" t="s">
        <v>251</v>
      </c>
      <c r="K363" s="3">
        <f>K361+K362</f>
        <v>14842.121085075705</v>
      </c>
      <c r="M363" s="3" t="s">
        <v>249</v>
      </c>
      <c r="N363" s="3">
        <f>6111.18*2</f>
        <v>12222.36</v>
      </c>
      <c r="O363" s="3"/>
      <c r="P363" s="3" t="s">
        <v>251</v>
      </c>
      <c r="Q363" s="3">
        <f>Q361+Q362</f>
        <v>18731.410079307861</v>
      </c>
    </row>
    <row r="364" spans="1:17" x14ac:dyDescent="0.25">
      <c r="A364" s="3" t="s">
        <v>252</v>
      </c>
      <c r="B364" s="3">
        <v>5470.93</v>
      </c>
      <c r="C364" s="3"/>
      <c r="D364" s="3" t="s">
        <v>252</v>
      </c>
      <c r="E364" s="3">
        <v>13381.48</v>
      </c>
      <c r="G364" s="3" t="s">
        <v>252</v>
      </c>
      <c r="H364" s="3">
        <v>5470.93</v>
      </c>
      <c r="I364" s="3"/>
      <c r="J364" s="3" t="s">
        <v>252</v>
      </c>
      <c r="K364" s="3">
        <v>13381.48</v>
      </c>
      <c r="M364" s="3" t="s">
        <v>252</v>
      </c>
      <c r="N364" s="3">
        <v>11176.63</v>
      </c>
      <c r="O364" s="3"/>
      <c r="P364" s="3" t="s">
        <v>252</v>
      </c>
      <c r="Q364" s="3">
        <v>13381.48</v>
      </c>
    </row>
    <row r="365" spans="1:17" x14ac:dyDescent="0.25">
      <c r="A365" s="3" t="s">
        <v>253</v>
      </c>
      <c r="B365" s="3">
        <f>B363-B364</f>
        <v>2315.9899999999998</v>
      </c>
      <c r="C365" s="3"/>
      <c r="D365" s="3" t="s">
        <v>253</v>
      </c>
      <c r="E365" s="3">
        <f>(E363-E364)</f>
        <v>2233.3858976207648</v>
      </c>
      <c r="G365" s="3" t="s">
        <v>253</v>
      </c>
      <c r="H365" s="3">
        <f>H363-H364</f>
        <v>2753.6100000000006</v>
      </c>
      <c r="I365" s="3"/>
      <c r="J365" s="3" t="s">
        <v>253</v>
      </c>
      <c r="K365" s="3">
        <f>(K363-K364)</f>
        <v>1460.6410850757056</v>
      </c>
      <c r="M365" s="3" t="s">
        <v>253</v>
      </c>
      <c r="N365" s="3">
        <f>N363-N364</f>
        <v>1045.7300000000014</v>
      </c>
      <c r="O365" s="3"/>
      <c r="P365" s="3" t="s">
        <v>253</v>
      </c>
      <c r="Q365" s="3">
        <f>(Q363-Q364)</f>
        <v>5349.9300793078619</v>
      </c>
    </row>
    <row r="366" spans="1:17" x14ac:dyDescent="0.25">
      <c r="A366" s="3" t="s">
        <v>254</v>
      </c>
      <c r="B366" s="5">
        <v>0.10879999999999999</v>
      </c>
      <c r="C366" s="3"/>
      <c r="D366" s="3" t="s">
        <v>254</v>
      </c>
      <c r="E366" s="5">
        <v>0.21360000000000001</v>
      </c>
      <c r="G366" s="3" t="s">
        <v>254</v>
      </c>
      <c r="H366" s="5">
        <v>0.10879999999999999</v>
      </c>
      <c r="I366" s="3"/>
      <c r="J366" s="3" t="s">
        <v>254</v>
      </c>
      <c r="K366" s="5">
        <v>0.21360000000000001</v>
      </c>
      <c r="M366" s="3" t="s">
        <v>254</v>
      </c>
      <c r="N366" s="5">
        <v>0.1792</v>
      </c>
      <c r="O366" s="3"/>
      <c r="P366" s="3" t="s">
        <v>254</v>
      </c>
      <c r="Q366" s="5">
        <v>0.21360000000000001</v>
      </c>
    </row>
    <row r="367" spans="1:17" x14ac:dyDescent="0.25">
      <c r="A367" s="3" t="s">
        <v>255</v>
      </c>
      <c r="B367" s="3">
        <f>B365*B366</f>
        <v>251.97971199999995</v>
      </c>
      <c r="C367" s="3"/>
      <c r="D367" s="3" t="s">
        <v>255</v>
      </c>
      <c r="E367" s="3">
        <f>(E365*E366)</f>
        <v>477.05122773179539</v>
      </c>
      <c r="G367" s="3" t="s">
        <v>255</v>
      </c>
      <c r="H367" s="3">
        <f>H365*H366</f>
        <v>299.59276800000004</v>
      </c>
      <c r="I367" s="3"/>
      <c r="J367" s="3" t="s">
        <v>255</v>
      </c>
      <c r="K367" s="3">
        <f>(K365*K366)</f>
        <v>311.99293577217077</v>
      </c>
      <c r="M367" s="3" t="s">
        <v>255</v>
      </c>
      <c r="N367" s="3">
        <f>N365*N366</f>
        <v>187.39481600000025</v>
      </c>
      <c r="O367" s="3"/>
      <c r="P367" s="3" t="s">
        <v>255</v>
      </c>
      <c r="Q367" s="3">
        <f>(Q365*Q366)</f>
        <v>1142.7450649401594</v>
      </c>
    </row>
    <row r="368" spans="1:17" x14ac:dyDescent="0.25">
      <c r="A368" s="3" t="s">
        <v>256</v>
      </c>
      <c r="B368" s="3">
        <v>321.26</v>
      </c>
      <c r="C368" s="3"/>
      <c r="D368" s="3" t="s">
        <v>256</v>
      </c>
      <c r="E368" s="3">
        <v>1417.12</v>
      </c>
      <c r="G368" s="3" t="s">
        <v>256</v>
      </c>
      <c r="H368" s="3">
        <v>321.26</v>
      </c>
      <c r="I368" s="3"/>
      <c r="J368" s="3" t="s">
        <v>256</v>
      </c>
      <c r="K368" s="3">
        <v>1417.12</v>
      </c>
      <c r="M368" s="3" t="s">
        <v>256</v>
      </c>
      <c r="N368" s="3">
        <v>1022.01</v>
      </c>
      <c r="O368" s="3"/>
      <c r="P368" s="3" t="s">
        <v>256</v>
      </c>
      <c r="Q368" s="3">
        <v>1417.12</v>
      </c>
    </row>
    <row r="369" spans="1:23" x14ac:dyDescent="0.25">
      <c r="A369" s="3" t="s">
        <v>257</v>
      </c>
      <c r="B369" s="3">
        <f>B367+B368</f>
        <v>573.23971199999994</v>
      </c>
      <c r="C369" s="3"/>
      <c r="D369" s="3" t="s">
        <v>257</v>
      </c>
      <c r="E369" s="3">
        <f>(E367+E368)</f>
        <v>1894.1712277317952</v>
      </c>
      <c r="G369" s="3" t="s">
        <v>257</v>
      </c>
      <c r="H369" s="3">
        <f>H367+H368</f>
        <v>620.85276799999997</v>
      </c>
      <c r="I369" s="3"/>
      <c r="J369" s="3" t="s">
        <v>257</v>
      </c>
      <c r="K369" s="3">
        <f>(K367+K368)</f>
        <v>1729.1129357721707</v>
      </c>
      <c r="M369" s="3" t="s">
        <v>257</v>
      </c>
      <c r="N369" s="3">
        <f>N367+N368</f>
        <v>1209.4048160000002</v>
      </c>
      <c r="O369" s="3"/>
      <c r="P369" s="3" t="s">
        <v>257</v>
      </c>
      <c r="Q369" s="3">
        <f>(Q367+Q368)</f>
        <v>2559.8650649401593</v>
      </c>
    </row>
    <row r="370" spans="1:23" x14ac:dyDescent="0.25">
      <c r="A370" s="3" t="s">
        <v>258</v>
      </c>
      <c r="B370" s="3"/>
      <c r="C370" s="3"/>
      <c r="D370" s="3" t="s">
        <v>258</v>
      </c>
      <c r="E370" s="3"/>
      <c r="G370" s="3" t="s">
        <v>258</v>
      </c>
      <c r="H370" s="3"/>
      <c r="I370" s="3"/>
      <c r="J370" s="3" t="s">
        <v>258</v>
      </c>
      <c r="K370" s="3"/>
      <c r="M370" s="3" t="s">
        <v>258</v>
      </c>
      <c r="N370" s="3"/>
      <c r="O370" s="3"/>
      <c r="P370" s="3" t="s">
        <v>258</v>
      </c>
      <c r="Q370" s="3"/>
    </row>
    <row r="371" spans="1:23" x14ac:dyDescent="0.25">
      <c r="A371" s="3" t="s">
        <v>259</v>
      </c>
      <c r="B371" s="3">
        <f>(B369-B370)</f>
        <v>573.23971199999994</v>
      </c>
      <c r="C371" s="3"/>
      <c r="D371" s="3" t="s">
        <v>259</v>
      </c>
      <c r="E371" s="3">
        <f>(E369-E370)</f>
        <v>1894.1712277317952</v>
      </c>
      <c r="G371" s="3" t="s">
        <v>259</v>
      </c>
      <c r="H371" s="3">
        <f>(H369-H370)</f>
        <v>620.85276799999997</v>
      </c>
      <c r="I371" s="3"/>
      <c r="J371" s="3" t="s">
        <v>259</v>
      </c>
      <c r="K371" s="3">
        <f>(K369-K370)</f>
        <v>1729.1129357721707</v>
      </c>
      <c r="M371" s="3" t="s">
        <v>259</v>
      </c>
      <c r="N371" s="3">
        <f>(N369-N370)</f>
        <v>1209.4048160000002</v>
      </c>
      <c r="O371" s="3"/>
      <c r="P371" s="3" t="s">
        <v>259</v>
      </c>
      <c r="Q371" s="3">
        <f>(Q369-Q370)</f>
        <v>2559.8650649401593</v>
      </c>
    </row>
    <row r="372" spans="1:23" x14ac:dyDescent="0.25">
      <c r="A372" s="3"/>
      <c r="B372" s="3"/>
      <c r="C372" s="3"/>
      <c r="D372" s="3"/>
      <c r="E372" s="3"/>
      <c r="G372" s="3"/>
      <c r="H372" s="3"/>
      <c r="I372" s="3"/>
      <c r="J372" s="3"/>
      <c r="K372" s="3"/>
      <c r="M372" s="3"/>
      <c r="N372" s="3"/>
      <c r="O372" s="3"/>
      <c r="P372" s="3"/>
      <c r="Q372" s="3"/>
    </row>
    <row r="373" spans="1:23" x14ac:dyDescent="0.25">
      <c r="A373" s="3"/>
      <c r="B373" s="3"/>
      <c r="C373" s="3"/>
      <c r="D373" s="3" t="s">
        <v>260</v>
      </c>
      <c r="E373" s="3">
        <f>E371-B371</f>
        <v>1320.9315157317951</v>
      </c>
      <c r="G373" s="3"/>
      <c r="H373" s="3"/>
      <c r="I373" s="3"/>
      <c r="J373" s="3" t="s">
        <v>260</v>
      </c>
      <c r="K373" s="3">
        <f>K371-H371</f>
        <v>1108.2601677721707</v>
      </c>
      <c r="M373" s="3"/>
      <c r="N373" s="3"/>
      <c r="O373" s="3"/>
      <c r="P373" s="3" t="s">
        <v>260</v>
      </c>
      <c r="Q373" s="3">
        <f>Q371-N371</f>
        <v>1350.4602489401591</v>
      </c>
    </row>
    <row r="377" spans="1:23" ht="18.75" x14ac:dyDescent="0.3">
      <c r="A377" s="95" t="s">
        <v>430</v>
      </c>
      <c r="B377" s="96"/>
      <c r="C377" s="3"/>
      <c r="D377" s="96"/>
      <c r="E377" s="96"/>
      <c r="G377" s="95" t="s">
        <v>430</v>
      </c>
      <c r="H377" s="96"/>
      <c r="I377" s="3"/>
      <c r="J377" s="96"/>
      <c r="K377" s="96"/>
      <c r="M377" s="95" t="s">
        <v>435</v>
      </c>
      <c r="N377" s="96"/>
      <c r="O377" s="3"/>
      <c r="P377" s="96"/>
      <c r="Q377" s="96"/>
      <c r="S377" s="95" t="s">
        <v>436</v>
      </c>
      <c r="T377" s="96"/>
      <c r="U377" s="3"/>
      <c r="V377" s="96"/>
      <c r="W377" s="96"/>
    </row>
    <row r="378" spans="1:23" x14ac:dyDescent="0.25">
      <c r="A378" s="3"/>
      <c r="B378" s="3"/>
      <c r="C378" s="3"/>
      <c r="D378" s="3"/>
      <c r="E378" s="3"/>
      <c r="G378" s="3"/>
      <c r="H378" s="3"/>
      <c r="I378" s="3"/>
      <c r="J378" s="3"/>
      <c r="K378" s="3"/>
      <c r="M378" s="3"/>
      <c r="N378" s="3"/>
      <c r="O378" s="3"/>
      <c r="P378" s="3"/>
      <c r="Q378" s="3"/>
      <c r="S378" s="3"/>
      <c r="T378" s="3"/>
      <c r="U378" s="3"/>
      <c r="V378" s="3"/>
      <c r="W378" s="3"/>
    </row>
    <row r="379" spans="1:23" x14ac:dyDescent="0.25">
      <c r="A379" s="3"/>
      <c r="B379" s="3"/>
      <c r="C379" s="3"/>
      <c r="D379" s="3" t="s">
        <v>249</v>
      </c>
      <c r="E379" s="3">
        <f>B381</f>
        <v>9814.16</v>
      </c>
      <c r="G379" s="3"/>
      <c r="H379" s="3"/>
      <c r="I379" s="3"/>
      <c r="J379" s="3" t="s">
        <v>249</v>
      </c>
      <c r="K379" s="3">
        <f>H381</f>
        <v>12222.36</v>
      </c>
      <c r="M379" s="3"/>
      <c r="N379" s="3"/>
      <c r="O379" s="3"/>
      <c r="P379" s="3" t="s">
        <v>249</v>
      </c>
      <c r="Q379" s="3">
        <f>N381</f>
        <v>10871.42</v>
      </c>
      <c r="S379" s="3"/>
      <c r="T379" s="3"/>
      <c r="U379" s="3"/>
      <c r="V379" s="3" t="s">
        <v>249</v>
      </c>
      <c r="W379" s="3">
        <f>T381</f>
        <v>6650.38</v>
      </c>
    </row>
    <row r="380" spans="1:23" x14ac:dyDescent="0.25">
      <c r="A380" s="3"/>
      <c r="B380" s="3"/>
      <c r="C380" s="3"/>
      <c r="D380" s="3" t="s">
        <v>250</v>
      </c>
      <c r="E380" s="3">
        <v>7698.8587166546513</v>
      </c>
      <c r="G380" s="3"/>
      <c r="H380" s="3"/>
      <c r="I380" s="3"/>
      <c r="J380" s="3" t="s">
        <v>250</v>
      </c>
      <c r="K380" s="3">
        <v>7216.555522710888</v>
      </c>
      <c r="M380" s="3"/>
      <c r="N380" s="3"/>
      <c r="O380" s="3"/>
      <c r="P380" s="3" t="s">
        <v>250</v>
      </c>
      <c r="Q380" s="3">
        <v>3163.1230821917811</v>
      </c>
      <c r="S380" s="3"/>
      <c r="T380" s="3"/>
      <c r="U380" s="3"/>
      <c r="V380" s="3" t="s">
        <v>250</v>
      </c>
      <c r="W380" s="3">
        <v>5404.4482876712336</v>
      </c>
    </row>
    <row r="381" spans="1:23" x14ac:dyDescent="0.25">
      <c r="A381" s="3" t="s">
        <v>249</v>
      </c>
      <c r="B381" s="3">
        <f>4907.08*2</f>
        <v>9814.16</v>
      </c>
      <c r="C381" s="3"/>
      <c r="D381" s="3" t="s">
        <v>251</v>
      </c>
      <c r="E381" s="3">
        <f>E379+E380</f>
        <v>17513.018716654653</v>
      </c>
      <c r="G381" s="3" t="s">
        <v>249</v>
      </c>
      <c r="H381" s="3">
        <f>6111.18*2</f>
        <v>12222.36</v>
      </c>
      <c r="I381" s="3"/>
      <c r="J381" s="3" t="s">
        <v>251</v>
      </c>
      <c r="K381" s="3">
        <f>K379+K380</f>
        <v>19438.915522710889</v>
      </c>
      <c r="M381" s="3" t="s">
        <v>249</v>
      </c>
      <c r="N381" s="3">
        <f>5435.71*2</f>
        <v>10871.42</v>
      </c>
      <c r="O381" s="3"/>
      <c r="P381" s="3" t="s">
        <v>251</v>
      </c>
      <c r="Q381" s="3">
        <f>Q379+Q380</f>
        <v>14034.543082191782</v>
      </c>
      <c r="S381" s="3" t="s">
        <v>249</v>
      </c>
      <c r="T381" s="3">
        <f>3325.19*2</f>
        <v>6650.38</v>
      </c>
      <c r="U381" s="3"/>
      <c r="V381" s="3" t="s">
        <v>251</v>
      </c>
      <c r="W381" s="3">
        <f>W379+W380</f>
        <v>12054.828287671233</v>
      </c>
    </row>
    <row r="382" spans="1:23" x14ac:dyDescent="0.25">
      <c r="A382" s="3" t="s">
        <v>252</v>
      </c>
      <c r="B382" s="3">
        <v>9614.67</v>
      </c>
      <c r="C382" s="3"/>
      <c r="D382" s="3" t="s">
        <v>252</v>
      </c>
      <c r="E382" s="3">
        <v>13381.48</v>
      </c>
      <c r="G382" s="3" t="s">
        <v>252</v>
      </c>
      <c r="H382" s="3">
        <v>11176.63</v>
      </c>
      <c r="I382" s="3"/>
      <c r="J382" s="3" t="s">
        <v>252</v>
      </c>
      <c r="K382" s="3">
        <v>13381.48</v>
      </c>
      <c r="M382" s="3" t="s">
        <v>252</v>
      </c>
      <c r="N382" s="3">
        <v>9614.67</v>
      </c>
      <c r="O382" s="3"/>
      <c r="P382" s="3" t="s">
        <v>252</v>
      </c>
      <c r="Q382" s="3">
        <v>13381.48</v>
      </c>
      <c r="S382" s="3" t="s">
        <v>252</v>
      </c>
      <c r="T382" s="3">
        <v>5470.93</v>
      </c>
      <c r="U382" s="3"/>
      <c r="V382" s="3" t="s">
        <v>252</v>
      </c>
      <c r="W382" s="3">
        <v>11176.63</v>
      </c>
    </row>
    <row r="383" spans="1:23" x14ac:dyDescent="0.25">
      <c r="A383" s="3" t="s">
        <v>253</v>
      </c>
      <c r="B383" s="3">
        <f>B381-B382</f>
        <v>199.48999999999978</v>
      </c>
      <c r="C383" s="3"/>
      <c r="D383" s="3" t="s">
        <v>253</v>
      </c>
      <c r="E383" s="3">
        <f>(E381-E382)</f>
        <v>4131.5387166546534</v>
      </c>
      <c r="G383" s="3" t="s">
        <v>253</v>
      </c>
      <c r="H383" s="3">
        <f>H381-H382</f>
        <v>1045.7300000000014</v>
      </c>
      <c r="I383" s="3"/>
      <c r="J383" s="3" t="s">
        <v>253</v>
      </c>
      <c r="K383" s="3">
        <f>(K381-K382)</f>
        <v>6057.4355227108899</v>
      </c>
      <c r="M383" s="3" t="s">
        <v>253</v>
      </c>
      <c r="N383" s="3">
        <f>N381-N382</f>
        <v>1256.75</v>
      </c>
      <c r="O383" s="3"/>
      <c r="P383" s="3" t="s">
        <v>253</v>
      </c>
      <c r="Q383" s="3">
        <f>(Q381-Q382)</f>
        <v>653.06308219178209</v>
      </c>
      <c r="S383" s="3" t="s">
        <v>253</v>
      </c>
      <c r="T383" s="3">
        <f>T381-T382</f>
        <v>1179.4499999999998</v>
      </c>
      <c r="U383" s="3"/>
      <c r="V383" s="3" t="s">
        <v>253</v>
      </c>
      <c r="W383" s="3">
        <f>(W381-W382)</f>
        <v>878.19828767123363</v>
      </c>
    </row>
    <row r="384" spans="1:23" x14ac:dyDescent="0.25">
      <c r="A384" s="3" t="s">
        <v>254</v>
      </c>
      <c r="B384" s="5">
        <v>0.16</v>
      </c>
      <c r="C384" s="3"/>
      <c r="D384" s="3" t="s">
        <v>254</v>
      </c>
      <c r="E384" s="5">
        <v>0.21360000000000001</v>
      </c>
      <c r="G384" s="3" t="s">
        <v>254</v>
      </c>
      <c r="H384" s="5">
        <v>0.1792</v>
      </c>
      <c r="I384" s="3"/>
      <c r="J384" s="3" t="s">
        <v>254</v>
      </c>
      <c r="K384" s="5">
        <v>0.21360000000000001</v>
      </c>
      <c r="M384" s="3" t="s">
        <v>254</v>
      </c>
      <c r="N384" s="5">
        <v>0.16</v>
      </c>
      <c r="O384" s="3"/>
      <c r="P384" s="3" t="s">
        <v>254</v>
      </c>
      <c r="Q384" s="5">
        <v>0.21360000000000001</v>
      </c>
      <c r="S384" s="3" t="s">
        <v>254</v>
      </c>
      <c r="T384" s="5">
        <v>0.10879999999999999</v>
      </c>
      <c r="U384" s="3"/>
      <c r="V384" s="3" t="s">
        <v>254</v>
      </c>
      <c r="W384" s="5">
        <v>0.1792</v>
      </c>
    </row>
    <row r="385" spans="1:23" x14ac:dyDescent="0.25">
      <c r="A385" s="3" t="s">
        <v>255</v>
      </c>
      <c r="B385" s="3">
        <f>B383*B384</f>
        <v>31.918399999999966</v>
      </c>
      <c r="C385" s="3"/>
      <c r="D385" s="3" t="s">
        <v>255</v>
      </c>
      <c r="E385" s="3">
        <f>(E383*E384)</f>
        <v>882.49666987743399</v>
      </c>
      <c r="G385" s="3" t="s">
        <v>255</v>
      </c>
      <c r="H385" s="3">
        <f>H383*H384</f>
        <v>187.39481600000025</v>
      </c>
      <c r="I385" s="3"/>
      <c r="J385" s="3" t="s">
        <v>255</v>
      </c>
      <c r="K385" s="3">
        <f>(K383*K384)</f>
        <v>1293.8682276510463</v>
      </c>
      <c r="M385" s="3" t="s">
        <v>255</v>
      </c>
      <c r="N385" s="3">
        <f>N383*N384</f>
        <v>201.08</v>
      </c>
      <c r="O385" s="3"/>
      <c r="P385" s="3" t="s">
        <v>255</v>
      </c>
      <c r="Q385" s="3">
        <f>(Q383*Q384)</f>
        <v>139.49427435616465</v>
      </c>
      <c r="S385" s="3" t="s">
        <v>255</v>
      </c>
      <c r="T385" s="3">
        <f>T383*T384</f>
        <v>128.32415999999998</v>
      </c>
      <c r="U385" s="3"/>
      <c r="V385" s="3" t="s">
        <v>255</v>
      </c>
      <c r="W385" s="3">
        <f>(W383*W384)</f>
        <v>157.37313315068508</v>
      </c>
    </row>
    <row r="386" spans="1:23" x14ac:dyDescent="0.25">
      <c r="A386" s="3" t="s">
        <v>256</v>
      </c>
      <c r="B386" s="3">
        <v>772.1</v>
      </c>
      <c r="C386" s="3"/>
      <c r="D386" s="3" t="s">
        <v>256</v>
      </c>
      <c r="E386" s="3">
        <v>1417.12</v>
      </c>
      <c r="G386" s="3" t="s">
        <v>256</v>
      </c>
      <c r="H386" s="3">
        <v>1022.01</v>
      </c>
      <c r="I386" s="3"/>
      <c r="J386" s="3" t="s">
        <v>256</v>
      </c>
      <c r="K386" s="3">
        <v>1417.12</v>
      </c>
      <c r="M386" s="3" t="s">
        <v>256</v>
      </c>
      <c r="N386" s="3">
        <v>772.1</v>
      </c>
      <c r="O386" s="3"/>
      <c r="P386" s="3" t="s">
        <v>256</v>
      </c>
      <c r="Q386" s="3">
        <v>1417.12</v>
      </c>
      <c r="S386" s="3" t="s">
        <v>256</v>
      </c>
      <c r="T386" s="3">
        <v>321.26</v>
      </c>
      <c r="U386" s="3"/>
      <c r="V386" s="3" t="s">
        <v>256</v>
      </c>
      <c r="W386" s="3">
        <v>1022.01</v>
      </c>
    </row>
    <row r="387" spans="1:23" x14ac:dyDescent="0.25">
      <c r="A387" s="3" t="s">
        <v>257</v>
      </c>
      <c r="B387" s="3">
        <f>B385+B386</f>
        <v>804.01840000000004</v>
      </c>
      <c r="C387" s="3"/>
      <c r="D387" s="3" t="s">
        <v>257</v>
      </c>
      <c r="E387" s="3">
        <f>(E385+E386)</f>
        <v>2299.6166698774341</v>
      </c>
      <c r="G387" s="3" t="s">
        <v>257</v>
      </c>
      <c r="H387" s="3">
        <f>H385+H386</f>
        <v>1209.4048160000002</v>
      </c>
      <c r="I387" s="3"/>
      <c r="J387" s="3" t="s">
        <v>257</v>
      </c>
      <c r="K387" s="3">
        <f>(K385+K386)</f>
        <v>2710.9882276510461</v>
      </c>
      <c r="M387" s="3" t="s">
        <v>257</v>
      </c>
      <c r="N387" s="3">
        <f>N385+N386</f>
        <v>973.18000000000006</v>
      </c>
      <c r="O387" s="3"/>
      <c r="P387" s="3" t="s">
        <v>257</v>
      </c>
      <c r="Q387" s="3">
        <f>(Q385+Q386)</f>
        <v>1556.6142743561645</v>
      </c>
      <c r="S387" s="3" t="s">
        <v>257</v>
      </c>
      <c r="T387" s="3">
        <f>T385+T386</f>
        <v>449.58416</v>
      </c>
      <c r="U387" s="3"/>
      <c r="V387" s="3" t="s">
        <v>257</v>
      </c>
      <c r="W387" s="3">
        <f>(W385+W386)</f>
        <v>1179.3831331506851</v>
      </c>
    </row>
    <row r="388" spans="1:23" x14ac:dyDescent="0.25">
      <c r="A388" s="3" t="s">
        <v>258</v>
      </c>
      <c r="B388" s="3"/>
      <c r="C388" s="3"/>
      <c r="D388" s="3" t="s">
        <v>258</v>
      </c>
      <c r="E388" s="3"/>
      <c r="G388" s="3" t="s">
        <v>258</v>
      </c>
      <c r="H388" s="3"/>
      <c r="I388" s="3"/>
      <c r="J388" s="3" t="s">
        <v>258</v>
      </c>
      <c r="K388" s="3"/>
      <c r="M388" s="3" t="s">
        <v>258</v>
      </c>
      <c r="N388" s="3"/>
      <c r="O388" s="3"/>
      <c r="P388" s="3" t="s">
        <v>258</v>
      </c>
      <c r="Q388" s="3"/>
      <c r="S388" s="3" t="s">
        <v>258</v>
      </c>
      <c r="T388" s="3"/>
      <c r="U388" s="3"/>
      <c r="V388" s="3" t="s">
        <v>258</v>
      </c>
      <c r="W388" s="3"/>
    </row>
    <row r="389" spans="1:23" x14ac:dyDescent="0.25">
      <c r="A389" s="3" t="s">
        <v>259</v>
      </c>
      <c r="B389" s="3">
        <f>(B387-B388)</f>
        <v>804.01840000000004</v>
      </c>
      <c r="C389" s="3"/>
      <c r="D389" s="3" t="s">
        <v>259</v>
      </c>
      <c r="E389" s="3">
        <f>(E387-E388)</f>
        <v>2299.6166698774341</v>
      </c>
      <c r="G389" s="3" t="s">
        <v>259</v>
      </c>
      <c r="H389" s="3">
        <f>(H387-H388)</f>
        <v>1209.4048160000002</v>
      </c>
      <c r="I389" s="3"/>
      <c r="J389" s="3" t="s">
        <v>259</v>
      </c>
      <c r="K389" s="3">
        <f>(K387-K388)</f>
        <v>2710.9882276510461</v>
      </c>
      <c r="M389" s="3" t="s">
        <v>259</v>
      </c>
      <c r="N389" s="3">
        <f>(N387-N388)</f>
        <v>973.18000000000006</v>
      </c>
      <c r="O389" s="3"/>
      <c r="P389" s="3" t="s">
        <v>259</v>
      </c>
      <c r="Q389" s="3">
        <f>(Q387-Q388)</f>
        <v>1556.6142743561645</v>
      </c>
      <c r="S389" s="3" t="s">
        <v>259</v>
      </c>
      <c r="T389" s="3">
        <f>(T387-T388)</f>
        <v>449.58416</v>
      </c>
      <c r="U389" s="3"/>
      <c r="V389" s="3" t="s">
        <v>259</v>
      </c>
      <c r="W389" s="3">
        <f>(W387-W388)</f>
        <v>1179.3831331506851</v>
      </c>
    </row>
    <row r="390" spans="1:23" x14ac:dyDescent="0.25">
      <c r="A390" s="3"/>
      <c r="B390" s="3"/>
      <c r="C390" s="3"/>
      <c r="D390" s="3"/>
      <c r="E390" s="3"/>
      <c r="G390" s="3"/>
      <c r="H390" s="3"/>
      <c r="I390" s="3"/>
      <c r="J390" s="3"/>
      <c r="K390" s="3"/>
      <c r="M390" s="3"/>
      <c r="N390" s="3"/>
      <c r="O390" s="3"/>
      <c r="P390" s="3"/>
      <c r="Q390" s="3"/>
      <c r="S390" s="3"/>
      <c r="T390" s="3"/>
      <c r="U390" s="3"/>
      <c r="V390" s="3"/>
      <c r="W390" s="3"/>
    </row>
    <row r="391" spans="1:23" x14ac:dyDescent="0.25">
      <c r="A391" s="3"/>
      <c r="B391" s="3"/>
      <c r="C391" s="3"/>
      <c r="D391" s="3" t="s">
        <v>260</v>
      </c>
      <c r="E391" s="3">
        <f>E389-B389</f>
        <v>1495.5982698774342</v>
      </c>
      <c r="G391" s="3"/>
      <c r="H391" s="3"/>
      <c r="I391" s="3"/>
      <c r="J391" s="3" t="s">
        <v>260</v>
      </c>
      <c r="K391" s="3">
        <f>K389-H389</f>
        <v>1501.5834116510459</v>
      </c>
      <c r="M391" s="3"/>
      <c r="N391" s="3"/>
      <c r="O391" s="3"/>
      <c r="P391" s="3" t="s">
        <v>260</v>
      </c>
      <c r="Q391" s="3">
        <f>Q389-N389</f>
        <v>583.43427435616445</v>
      </c>
      <c r="S391" s="3"/>
      <c r="T391" s="3"/>
      <c r="U391" s="3"/>
      <c r="V391" s="3" t="s">
        <v>260</v>
      </c>
      <c r="W391" s="3">
        <f>W389-T389</f>
        <v>729.79897315068513</v>
      </c>
    </row>
  </sheetData>
  <mergeCells count="180">
    <mergeCell ref="A359:B359"/>
    <mergeCell ref="D359:E359"/>
    <mergeCell ref="G359:H359"/>
    <mergeCell ref="J359:K359"/>
    <mergeCell ref="M359:N359"/>
    <mergeCell ref="P359:Q359"/>
    <mergeCell ref="A377:B377"/>
    <mergeCell ref="D377:E377"/>
    <mergeCell ref="G377:H377"/>
    <mergeCell ref="J377:K377"/>
    <mergeCell ref="M377:N377"/>
    <mergeCell ref="P377:Q377"/>
    <mergeCell ref="P341:Q341"/>
    <mergeCell ref="A341:B341"/>
    <mergeCell ref="D341:E341"/>
    <mergeCell ref="G341:H341"/>
    <mergeCell ref="J341:K341"/>
    <mergeCell ref="M341:N341"/>
    <mergeCell ref="P307:Q307"/>
    <mergeCell ref="S307:T307"/>
    <mergeCell ref="V307:W307"/>
    <mergeCell ref="A324:B324"/>
    <mergeCell ref="D324:E324"/>
    <mergeCell ref="G324:H324"/>
    <mergeCell ref="J324:K324"/>
    <mergeCell ref="M324:N324"/>
    <mergeCell ref="P324:Q324"/>
    <mergeCell ref="S324:T324"/>
    <mergeCell ref="V324:W324"/>
    <mergeCell ref="A307:B307"/>
    <mergeCell ref="D307:E307"/>
    <mergeCell ref="G307:H307"/>
    <mergeCell ref="J307:K307"/>
    <mergeCell ref="M307:N307"/>
    <mergeCell ref="P273:Q273"/>
    <mergeCell ref="S273:T273"/>
    <mergeCell ref="V273:W273"/>
    <mergeCell ref="A290:B290"/>
    <mergeCell ref="D290:E290"/>
    <mergeCell ref="G290:H290"/>
    <mergeCell ref="J290:K290"/>
    <mergeCell ref="M290:N290"/>
    <mergeCell ref="P290:Q290"/>
    <mergeCell ref="S290:T290"/>
    <mergeCell ref="V290:W290"/>
    <mergeCell ref="A273:B273"/>
    <mergeCell ref="D273:E273"/>
    <mergeCell ref="G273:H273"/>
    <mergeCell ref="J273:K273"/>
    <mergeCell ref="M273:N273"/>
    <mergeCell ref="P239:Q239"/>
    <mergeCell ref="S239:T239"/>
    <mergeCell ref="V239:W239"/>
    <mergeCell ref="A256:B256"/>
    <mergeCell ref="D256:E256"/>
    <mergeCell ref="G256:H256"/>
    <mergeCell ref="J256:K256"/>
    <mergeCell ref="M256:N256"/>
    <mergeCell ref="P256:Q256"/>
    <mergeCell ref="S256:T256"/>
    <mergeCell ref="V256:W256"/>
    <mergeCell ref="A239:B239"/>
    <mergeCell ref="D239:E239"/>
    <mergeCell ref="G239:H239"/>
    <mergeCell ref="J239:K239"/>
    <mergeCell ref="M239:N239"/>
    <mergeCell ref="P205:Q205"/>
    <mergeCell ref="S205:T205"/>
    <mergeCell ref="V205:W205"/>
    <mergeCell ref="A222:B222"/>
    <mergeCell ref="D222:E222"/>
    <mergeCell ref="G222:H222"/>
    <mergeCell ref="J222:K222"/>
    <mergeCell ref="M222:N222"/>
    <mergeCell ref="P222:Q222"/>
    <mergeCell ref="S222:T222"/>
    <mergeCell ref="V222:W222"/>
    <mergeCell ref="A205:B205"/>
    <mergeCell ref="D205:E205"/>
    <mergeCell ref="G205:H205"/>
    <mergeCell ref="J205:K205"/>
    <mergeCell ref="M205:N205"/>
    <mergeCell ref="P171:Q171"/>
    <mergeCell ref="S171:T171"/>
    <mergeCell ref="V171:W171"/>
    <mergeCell ref="A188:B188"/>
    <mergeCell ref="D188:E188"/>
    <mergeCell ref="G188:H188"/>
    <mergeCell ref="J188:K188"/>
    <mergeCell ref="M188:N188"/>
    <mergeCell ref="P188:Q188"/>
    <mergeCell ref="S188:T188"/>
    <mergeCell ref="V188:W188"/>
    <mergeCell ref="A171:B171"/>
    <mergeCell ref="D171:E171"/>
    <mergeCell ref="G171:H171"/>
    <mergeCell ref="J171:K171"/>
    <mergeCell ref="M171:N171"/>
    <mergeCell ref="P137:Q137"/>
    <mergeCell ref="S137:T137"/>
    <mergeCell ref="V137:W137"/>
    <mergeCell ref="A154:B154"/>
    <mergeCell ref="D154:E154"/>
    <mergeCell ref="G154:H154"/>
    <mergeCell ref="J154:K154"/>
    <mergeCell ref="M154:N154"/>
    <mergeCell ref="P154:Q154"/>
    <mergeCell ref="S154:T154"/>
    <mergeCell ref="V154:W154"/>
    <mergeCell ref="A137:B137"/>
    <mergeCell ref="D137:E137"/>
    <mergeCell ref="G137:H137"/>
    <mergeCell ref="J137:K137"/>
    <mergeCell ref="M137:N137"/>
    <mergeCell ref="A1:B1"/>
    <mergeCell ref="D1:E1"/>
    <mergeCell ref="P103:Q103"/>
    <mergeCell ref="S103:T103"/>
    <mergeCell ref="V103:W103"/>
    <mergeCell ref="A120:B120"/>
    <mergeCell ref="D120:E120"/>
    <mergeCell ref="G120:H120"/>
    <mergeCell ref="J120:K120"/>
    <mergeCell ref="M120:N120"/>
    <mergeCell ref="P120:Q120"/>
    <mergeCell ref="S120:T120"/>
    <mergeCell ref="V120:W120"/>
    <mergeCell ref="A103:B103"/>
    <mergeCell ref="D103:E103"/>
    <mergeCell ref="G103:H103"/>
    <mergeCell ref="J103:K103"/>
    <mergeCell ref="M103:N103"/>
    <mergeCell ref="J69:K69"/>
    <mergeCell ref="M69:N69"/>
    <mergeCell ref="P1:Q1"/>
    <mergeCell ref="S69:T69"/>
    <mergeCell ref="V69:W69"/>
    <mergeCell ref="A86:B86"/>
    <mergeCell ref="V86:W86"/>
    <mergeCell ref="P35:Q35"/>
    <mergeCell ref="S1:T1"/>
    <mergeCell ref="V1:W1"/>
    <mergeCell ref="G1:H1"/>
    <mergeCell ref="J1:K1"/>
    <mergeCell ref="M1:N1"/>
    <mergeCell ref="J35:K35"/>
    <mergeCell ref="M35:N35"/>
    <mergeCell ref="S18:T18"/>
    <mergeCell ref="V18:W18"/>
    <mergeCell ref="S377:T377"/>
    <mergeCell ref="V377:W377"/>
    <mergeCell ref="P69:Q69"/>
    <mergeCell ref="S35:T35"/>
    <mergeCell ref="V35:W35"/>
    <mergeCell ref="A52:B52"/>
    <mergeCell ref="D52:E52"/>
    <mergeCell ref="G52:H52"/>
    <mergeCell ref="J52:K52"/>
    <mergeCell ref="M52:N52"/>
    <mergeCell ref="P52:Q52"/>
    <mergeCell ref="S52:T52"/>
    <mergeCell ref="V52:W52"/>
    <mergeCell ref="A35:B35"/>
    <mergeCell ref="D35:E35"/>
    <mergeCell ref="G35:H35"/>
    <mergeCell ref="D86:E86"/>
    <mergeCell ref="G86:H86"/>
    <mergeCell ref="J86:K86"/>
    <mergeCell ref="M86:N86"/>
    <mergeCell ref="P86:Q86"/>
    <mergeCell ref="S86:T86"/>
    <mergeCell ref="A69:B69"/>
    <mergeCell ref="D69:E69"/>
    <mergeCell ref="G69:H69"/>
    <mergeCell ref="A18:B18"/>
    <mergeCell ref="D18:E18"/>
    <mergeCell ref="G18:H18"/>
    <mergeCell ref="J18:K18"/>
    <mergeCell ref="M18:N18"/>
    <mergeCell ref="P18:Q1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6B706-A87E-47A1-9B5D-ACF0A71540CA}">
  <dimension ref="A1:Q53"/>
  <sheetViews>
    <sheetView tabSelected="1" topLeftCell="A13" zoomScale="77" zoomScaleNormal="77" workbookViewId="0">
      <selection activeCell="C16" sqref="C16"/>
    </sheetView>
  </sheetViews>
  <sheetFormatPr baseColWidth="10" defaultRowHeight="15" x14ac:dyDescent="0.25"/>
  <cols>
    <col min="1" max="1" width="6.28515625" customWidth="1"/>
    <col min="2" max="2" width="34.5703125" customWidth="1"/>
    <col min="3" max="3" width="29.42578125" customWidth="1"/>
    <col min="4" max="4" width="15.140625" customWidth="1"/>
    <col min="5" max="5" width="13.42578125" customWidth="1"/>
    <col min="6" max="6" width="15.28515625" customWidth="1"/>
    <col min="8" max="8" width="17.7109375" customWidth="1"/>
    <col min="9" max="9" width="13.28515625" customWidth="1"/>
    <col min="10" max="10" width="14.140625" customWidth="1"/>
    <col min="11" max="11" width="14" customWidth="1"/>
    <col min="12" max="12" width="13.85546875" customWidth="1"/>
    <col min="13" max="13" width="16.140625" customWidth="1"/>
    <col min="14" max="14" width="15.5703125" customWidth="1"/>
    <col min="15" max="15" width="16.140625" customWidth="1"/>
    <col min="16" max="16" width="16.7109375" customWidth="1"/>
    <col min="17" max="17" width="37.140625" customWidth="1"/>
  </cols>
  <sheetData>
    <row r="1" spans="1:17" ht="45" customHeight="1" x14ac:dyDescent="0.25">
      <c r="A1" s="112" t="s">
        <v>206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4"/>
    </row>
    <row r="2" spans="1:17" ht="29.25" customHeight="1" x14ac:dyDescent="0.25">
      <c r="A2" s="89" t="s">
        <v>244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1"/>
    </row>
    <row r="3" spans="1:17" ht="45" x14ac:dyDescent="0.25">
      <c r="A3" s="10" t="s">
        <v>1</v>
      </c>
      <c r="B3" s="8" t="s">
        <v>2</v>
      </c>
      <c r="C3" s="8" t="s">
        <v>3</v>
      </c>
      <c r="D3" s="9" t="s">
        <v>4</v>
      </c>
      <c r="E3" s="9" t="s">
        <v>5</v>
      </c>
      <c r="F3" s="9" t="s">
        <v>6</v>
      </c>
      <c r="G3" s="8" t="s">
        <v>7</v>
      </c>
      <c r="H3" s="9" t="s">
        <v>8</v>
      </c>
      <c r="I3" s="9" t="s">
        <v>9</v>
      </c>
      <c r="J3" s="9" t="s">
        <v>10</v>
      </c>
      <c r="K3" s="9" t="s">
        <v>11</v>
      </c>
      <c r="L3" s="9" t="s">
        <v>12</v>
      </c>
      <c r="M3" s="9" t="s">
        <v>13</v>
      </c>
      <c r="N3" s="8" t="s">
        <v>14</v>
      </c>
      <c r="O3" s="9" t="s">
        <v>15</v>
      </c>
      <c r="P3" s="9" t="s">
        <v>16</v>
      </c>
      <c r="Q3" s="11" t="s">
        <v>17</v>
      </c>
    </row>
    <row r="4" spans="1:17" ht="25.5" customHeight="1" x14ac:dyDescent="0.25">
      <c r="A4" s="31">
        <v>1</v>
      </c>
      <c r="B4" s="13" t="s">
        <v>437</v>
      </c>
      <c r="C4" s="13" t="s">
        <v>207</v>
      </c>
      <c r="D4" s="14">
        <v>8920.0530999999992</v>
      </c>
      <c r="E4" s="14">
        <f>D4*2/30.4</f>
        <v>586.84559868421047</v>
      </c>
      <c r="F4" s="12">
        <f>31+28+31+30+31+30+31+31+30+31+30+31</f>
        <v>365</v>
      </c>
      <c r="G4" s="12">
        <f>F4*50/365</f>
        <v>50</v>
      </c>
      <c r="H4" s="15">
        <f>E4*G4</f>
        <v>29342.279934210525</v>
      </c>
      <c r="I4" s="21">
        <f>F4*30/365*96.22</f>
        <v>2886.6</v>
      </c>
      <c r="J4" s="15">
        <f>H4-I4</f>
        <v>26455.679934210526</v>
      </c>
      <c r="K4" s="14">
        <v>6138.705748263159</v>
      </c>
      <c r="L4" s="15">
        <f>H4+K4</f>
        <v>35480.985682473685</v>
      </c>
      <c r="M4" s="13"/>
      <c r="N4" s="14">
        <f>K4</f>
        <v>6138.705748263159</v>
      </c>
      <c r="O4" s="14">
        <f>N4</f>
        <v>6138.705748263159</v>
      </c>
      <c r="P4" s="15">
        <f>L4-O4</f>
        <v>29342.279934210528</v>
      </c>
      <c r="Q4" s="32"/>
    </row>
    <row r="5" spans="1:17" ht="25.5" customHeight="1" x14ac:dyDescent="0.25">
      <c r="A5" s="31">
        <v>2</v>
      </c>
      <c r="B5" s="13" t="s">
        <v>438</v>
      </c>
      <c r="C5" s="13" t="s">
        <v>208</v>
      </c>
      <c r="D5" s="14">
        <v>8360</v>
      </c>
      <c r="E5" s="14">
        <f>D5*2/30.4</f>
        <v>550</v>
      </c>
      <c r="F5" s="12">
        <f>31+28+31+30+31+30+31+31+30+31+30+31</f>
        <v>365</v>
      </c>
      <c r="G5" s="12">
        <f>F5*50/365</f>
        <v>50</v>
      </c>
      <c r="H5" s="15">
        <f>E5*G5</f>
        <v>27500</v>
      </c>
      <c r="I5" s="21">
        <f t="shared" ref="I5:I42" si="0">F5*30/365*96.22</f>
        <v>2886.6</v>
      </c>
      <c r="J5" s="15">
        <f t="shared" ref="J5:J42" si="1">H5-I5</f>
        <v>24613.4</v>
      </c>
      <c r="K5" s="14">
        <v>5567.2702560000016</v>
      </c>
      <c r="L5" s="15">
        <f t="shared" ref="L5:L42" si="2">H5+K5</f>
        <v>33067.270256000003</v>
      </c>
      <c r="M5" s="13"/>
      <c r="N5" s="14">
        <f t="shared" ref="N5:N42" si="3">K5</f>
        <v>5567.2702560000016</v>
      </c>
      <c r="O5" s="14">
        <f t="shared" ref="O5:O43" si="4">N5</f>
        <v>5567.2702560000016</v>
      </c>
      <c r="P5" s="15">
        <f t="shared" ref="P5:P42" si="5">L5-O5</f>
        <v>27500</v>
      </c>
      <c r="Q5" s="32"/>
    </row>
    <row r="6" spans="1:17" ht="25.5" customHeight="1" x14ac:dyDescent="0.25">
      <c r="A6" s="31">
        <v>3</v>
      </c>
      <c r="B6" s="13" t="s">
        <v>439</v>
      </c>
      <c r="C6" s="13" t="s">
        <v>209</v>
      </c>
      <c r="D6" s="14">
        <v>6623</v>
      </c>
      <c r="E6" s="14">
        <f>D6*2/30.4</f>
        <v>435.72368421052636</v>
      </c>
      <c r="F6" s="12">
        <f>31+28+31+30+31+30+31+31+30+31+30+31</f>
        <v>365</v>
      </c>
      <c r="G6" s="12">
        <f>F6*50/365</f>
        <v>50</v>
      </c>
      <c r="H6" s="15">
        <f>E6*G6</f>
        <v>21786.184210526317</v>
      </c>
      <c r="I6" s="21">
        <f t="shared" si="0"/>
        <v>2886.6</v>
      </c>
      <c r="J6" s="15">
        <f t="shared" si="1"/>
        <v>18899.584210526318</v>
      </c>
      <c r="K6" s="14">
        <v>2303.5025633684218</v>
      </c>
      <c r="L6" s="15">
        <f t="shared" si="2"/>
        <v>24089.68677389474</v>
      </c>
      <c r="M6" s="13"/>
      <c r="N6" s="14">
        <f t="shared" si="3"/>
        <v>2303.5025633684218</v>
      </c>
      <c r="O6" s="14">
        <f t="shared" si="4"/>
        <v>2303.5025633684218</v>
      </c>
      <c r="P6" s="15">
        <f t="shared" si="5"/>
        <v>21786.18421052632</v>
      </c>
      <c r="Q6" s="32"/>
    </row>
    <row r="7" spans="1:17" ht="25.5" customHeight="1" x14ac:dyDescent="0.25">
      <c r="A7" s="31">
        <v>4</v>
      </c>
      <c r="B7" s="13" t="s">
        <v>440</v>
      </c>
      <c r="C7" s="13" t="s">
        <v>209</v>
      </c>
      <c r="D7" s="14">
        <v>6623</v>
      </c>
      <c r="E7" s="14">
        <f t="shared" ref="E7" si="6">D7*2/30.4</f>
        <v>435.72368421052636</v>
      </c>
      <c r="F7" s="12">
        <v>365</v>
      </c>
      <c r="G7" s="23">
        <f t="shared" ref="G7" si="7">F7*50/365</f>
        <v>50</v>
      </c>
      <c r="H7" s="15">
        <v>16979.45</v>
      </c>
      <c r="I7" s="21">
        <f t="shared" ref="I7" si="8">F7*30/365*96.22</f>
        <v>2886.6</v>
      </c>
      <c r="J7" s="15">
        <f t="shared" ref="J7" si="9">H7-I7</f>
        <v>14092.85</v>
      </c>
      <c r="K7" s="14">
        <v>1408.79</v>
      </c>
      <c r="L7" s="15">
        <f t="shared" ref="L7" si="10">H7+K7</f>
        <v>18388.240000000002</v>
      </c>
      <c r="M7" s="13"/>
      <c r="N7" s="13">
        <f t="shared" ref="N7" si="11">K7</f>
        <v>1408.79</v>
      </c>
      <c r="O7" s="13">
        <f t="shared" ref="O7" si="12">N7</f>
        <v>1408.79</v>
      </c>
      <c r="P7" s="15">
        <f t="shared" ref="P7" si="13">L7-O7</f>
        <v>16979.45</v>
      </c>
      <c r="Q7" s="32"/>
    </row>
    <row r="8" spans="1:17" x14ac:dyDescent="0.25">
      <c r="A8" s="26"/>
      <c r="B8" s="33"/>
      <c r="C8" s="33"/>
      <c r="D8" s="33"/>
      <c r="E8" s="33"/>
      <c r="F8" s="33"/>
      <c r="G8" s="33"/>
      <c r="H8" s="33"/>
      <c r="I8" s="34"/>
      <c r="J8" s="35"/>
      <c r="K8" s="33"/>
      <c r="L8" s="35"/>
      <c r="M8" s="33"/>
      <c r="N8" s="33"/>
      <c r="O8" s="33"/>
      <c r="P8" s="35"/>
      <c r="Q8" s="20"/>
    </row>
    <row r="9" spans="1:17" x14ac:dyDescent="0.25">
      <c r="A9" s="104" t="s">
        <v>403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</row>
    <row r="10" spans="1:17" ht="25.5" customHeight="1" x14ac:dyDescent="0.25">
      <c r="A10" s="31">
        <v>1</v>
      </c>
      <c r="B10" s="13" t="s">
        <v>441</v>
      </c>
      <c r="C10" s="13" t="s">
        <v>210</v>
      </c>
      <c r="D10" s="14">
        <v>5026.13</v>
      </c>
      <c r="E10" s="14">
        <f t="shared" ref="E10:E27" si="14">D10*2/30.4</f>
        <v>330.66644736842107</v>
      </c>
      <c r="F10" s="12">
        <f t="shared" ref="F10:F27" si="15">31+28+31+30+31+30+31+31+30+31+30+31</f>
        <v>365</v>
      </c>
      <c r="G10" s="12">
        <f t="shared" ref="G10:G27" si="16">F10*50/365</f>
        <v>50</v>
      </c>
      <c r="H10" s="15">
        <f t="shared" ref="H10:H27" si="17">E10*G10</f>
        <v>16533.322368421053</v>
      </c>
      <c r="I10" s="21">
        <f t="shared" si="0"/>
        <v>2886.6</v>
      </c>
      <c r="J10" s="15">
        <f t="shared" si="1"/>
        <v>13646.722368421053</v>
      </c>
      <c r="K10" s="14">
        <v>974.17770589473685</v>
      </c>
      <c r="L10" s="15">
        <f t="shared" si="2"/>
        <v>17507.500074315791</v>
      </c>
      <c r="M10" s="13"/>
      <c r="N10" s="14">
        <f t="shared" si="3"/>
        <v>974.17770589473685</v>
      </c>
      <c r="O10" s="14">
        <f t="shared" si="4"/>
        <v>974.17770589473685</v>
      </c>
      <c r="P10" s="15">
        <f t="shared" si="5"/>
        <v>16533.322368421053</v>
      </c>
      <c r="Q10" s="32"/>
    </row>
    <row r="11" spans="1:17" ht="25.5" customHeight="1" x14ac:dyDescent="0.25">
      <c r="A11" s="31">
        <v>2</v>
      </c>
      <c r="B11" s="13" t="s">
        <v>442</v>
      </c>
      <c r="C11" s="13" t="s">
        <v>210</v>
      </c>
      <c r="D11" s="14">
        <v>5026.13</v>
      </c>
      <c r="E11" s="14">
        <f t="shared" si="14"/>
        <v>330.66644736842107</v>
      </c>
      <c r="F11" s="12">
        <f t="shared" si="15"/>
        <v>365</v>
      </c>
      <c r="G11" s="12">
        <f t="shared" si="16"/>
        <v>50</v>
      </c>
      <c r="H11" s="15">
        <f t="shared" si="17"/>
        <v>16533.322368421053</v>
      </c>
      <c r="I11" s="21">
        <f t="shared" si="0"/>
        <v>2886.6</v>
      </c>
      <c r="J11" s="15">
        <f t="shared" si="1"/>
        <v>13646.722368421053</v>
      </c>
      <c r="K11" s="14">
        <v>974.17770589473685</v>
      </c>
      <c r="L11" s="15">
        <f t="shared" si="2"/>
        <v>17507.500074315791</v>
      </c>
      <c r="M11" s="13"/>
      <c r="N11" s="14">
        <f t="shared" si="3"/>
        <v>974.17770589473685</v>
      </c>
      <c r="O11" s="14">
        <f t="shared" si="4"/>
        <v>974.17770589473685</v>
      </c>
      <c r="P11" s="15">
        <f t="shared" si="5"/>
        <v>16533.322368421053</v>
      </c>
      <c r="Q11" s="32"/>
    </row>
    <row r="12" spans="1:17" ht="25.5" customHeight="1" x14ac:dyDescent="0.25">
      <c r="A12" s="31">
        <v>3</v>
      </c>
      <c r="B12" s="13" t="s">
        <v>443</v>
      </c>
      <c r="C12" s="13" t="s">
        <v>210</v>
      </c>
      <c r="D12" s="14">
        <v>5026.13</v>
      </c>
      <c r="E12" s="14">
        <f t="shared" si="14"/>
        <v>330.66644736842107</v>
      </c>
      <c r="F12" s="12">
        <f t="shared" si="15"/>
        <v>365</v>
      </c>
      <c r="G12" s="12">
        <f t="shared" si="16"/>
        <v>50</v>
      </c>
      <c r="H12" s="15">
        <f t="shared" si="17"/>
        <v>16533.322368421053</v>
      </c>
      <c r="I12" s="21">
        <f t="shared" si="0"/>
        <v>2886.6</v>
      </c>
      <c r="J12" s="15">
        <f t="shared" si="1"/>
        <v>13646.722368421053</v>
      </c>
      <c r="K12" s="14">
        <v>974.17770589473685</v>
      </c>
      <c r="L12" s="15">
        <f t="shared" si="2"/>
        <v>17507.500074315791</v>
      </c>
      <c r="M12" s="13"/>
      <c r="N12" s="14">
        <f t="shared" si="3"/>
        <v>974.17770589473685</v>
      </c>
      <c r="O12" s="14">
        <f t="shared" si="4"/>
        <v>974.17770589473685</v>
      </c>
      <c r="P12" s="15">
        <f t="shared" si="5"/>
        <v>16533.322368421053</v>
      </c>
      <c r="Q12" s="32"/>
    </row>
    <row r="13" spans="1:17" ht="25.5" customHeight="1" x14ac:dyDescent="0.25">
      <c r="A13" s="31">
        <v>4</v>
      </c>
      <c r="B13" s="13" t="s">
        <v>444</v>
      </c>
      <c r="C13" s="13" t="s">
        <v>210</v>
      </c>
      <c r="D13" s="14">
        <v>5026.13</v>
      </c>
      <c r="E13" s="14">
        <f t="shared" si="14"/>
        <v>330.66644736842107</v>
      </c>
      <c r="F13" s="12">
        <f t="shared" si="15"/>
        <v>365</v>
      </c>
      <c r="G13" s="12">
        <f t="shared" si="16"/>
        <v>50</v>
      </c>
      <c r="H13" s="15">
        <f t="shared" si="17"/>
        <v>16533.322368421053</v>
      </c>
      <c r="I13" s="21">
        <f t="shared" si="0"/>
        <v>2886.6</v>
      </c>
      <c r="J13" s="15">
        <f t="shared" si="1"/>
        <v>13646.722368421053</v>
      </c>
      <c r="K13" s="14">
        <v>974.17770589473685</v>
      </c>
      <c r="L13" s="15">
        <f t="shared" si="2"/>
        <v>17507.500074315791</v>
      </c>
      <c r="M13" s="13"/>
      <c r="N13" s="14">
        <f t="shared" si="3"/>
        <v>974.17770589473685</v>
      </c>
      <c r="O13" s="14">
        <f t="shared" si="4"/>
        <v>974.17770589473685</v>
      </c>
      <c r="P13" s="15">
        <f t="shared" si="5"/>
        <v>16533.322368421053</v>
      </c>
      <c r="Q13" s="32"/>
    </row>
    <row r="14" spans="1:17" ht="25.5" customHeight="1" x14ac:dyDescent="0.25">
      <c r="A14" s="31">
        <v>5</v>
      </c>
      <c r="B14" s="13" t="s">
        <v>445</v>
      </c>
      <c r="C14" s="13" t="s">
        <v>210</v>
      </c>
      <c r="D14" s="14">
        <v>5026.13</v>
      </c>
      <c r="E14" s="14">
        <f t="shared" si="14"/>
        <v>330.66644736842107</v>
      </c>
      <c r="F14" s="12">
        <f t="shared" si="15"/>
        <v>365</v>
      </c>
      <c r="G14" s="12">
        <f t="shared" si="16"/>
        <v>50</v>
      </c>
      <c r="H14" s="15">
        <f t="shared" si="17"/>
        <v>16533.322368421053</v>
      </c>
      <c r="I14" s="21">
        <f t="shared" si="0"/>
        <v>2886.6</v>
      </c>
      <c r="J14" s="15">
        <f t="shared" si="1"/>
        <v>13646.722368421053</v>
      </c>
      <c r="K14" s="14">
        <v>974.17770589473685</v>
      </c>
      <c r="L14" s="15">
        <f t="shared" si="2"/>
        <v>17507.500074315791</v>
      </c>
      <c r="M14" s="13"/>
      <c r="N14" s="14">
        <f t="shared" si="3"/>
        <v>974.17770589473685</v>
      </c>
      <c r="O14" s="14">
        <f t="shared" si="4"/>
        <v>974.17770589473685</v>
      </c>
      <c r="P14" s="15">
        <f t="shared" si="5"/>
        <v>16533.322368421053</v>
      </c>
      <c r="Q14" s="32"/>
    </row>
    <row r="15" spans="1:17" ht="25.5" customHeight="1" x14ac:dyDescent="0.25">
      <c r="A15" s="31">
        <v>6</v>
      </c>
      <c r="B15" s="13" t="s">
        <v>446</v>
      </c>
      <c r="C15" s="13" t="s">
        <v>210</v>
      </c>
      <c r="D15" s="14">
        <v>5026.13</v>
      </c>
      <c r="E15" s="14">
        <f t="shared" si="14"/>
        <v>330.66644736842107</v>
      </c>
      <c r="F15" s="12">
        <f t="shared" si="15"/>
        <v>365</v>
      </c>
      <c r="G15" s="12">
        <f t="shared" si="16"/>
        <v>50</v>
      </c>
      <c r="H15" s="15">
        <f t="shared" si="17"/>
        <v>16533.322368421053</v>
      </c>
      <c r="I15" s="21">
        <f t="shared" si="0"/>
        <v>2886.6</v>
      </c>
      <c r="J15" s="15">
        <f t="shared" si="1"/>
        <v>13646.722368421053</v>
      </c>
      <c r="K15" s="14">
        <v>974.17770589473685</v>
      </c>
      <c r="L15" s="15">
        <f t="shared" si="2"/>
        <v>17507.500074315791</v>
      </c>
      <c r="M15" s="13"/>
      <c r="N15" s="14">
        <f t="shared" si="3"/>
        <v>974.17770589473685</v>
      </c>
      <c r="O15" s="14">
        <f t="shared" si="4"/>
        <v>974.17770589473685</v>
      </c>
      <c r="P15" s="15">
        <f t="shared" si="5"/>
        <v>16533.322368421053</v>
      </c>
      <c r="Q15" s="32"/>
    </row>
    <row r="16" spans="1:17" ht="25.5" customHeight="1" x14ac:dyDescent="0.25">
      <c r="A16" s="31">
        <v>7</v>
      </c>
      <c r="B16" s="13" t="s">
        <v>447</v>
      </c>
      <c r="C16" s="13" t="s">
        <v>210</v>
      </c>
      <c r="D16" s="14">
        <v>5026.13</v>
      </c>
      <c r="E16" s="14">
        <f t="shared" si="14"/>
        <v>330.66644736842107</v>
      </c>
      <c r="F16" s="12">
        <f t="shared" si="15"/>
        <v>365</v>
      </c>
      <c r="G16" s="12">
        <f t="shared" si="16"/>
        <v>50</v>
      </c>
      <c r="H16" s="15">
        <f t="shared" si="17"/>
        <v>16533.322368421053</v>
      </c>
      <c r="I16" s="21">
        <f t="shared" si="0"/>
        <v>2886.6</v>
      </c>
      <c r="J16" s="15">
        <f t="shared" si="1"/>
        <v>13646.722368421053</v>
      </c>
      <c r="K16" s="14">
        <v>974.17770589473685</v>
      </c>
      <c r="L16" s="15">
        <f t="shared" si="2"/>
        <v>17507.500074315791</v>
      </c>
      <c r="M16" s="13"/>
      <c r="N16" s="14">
        <f t="shared" si="3"/>
        <v>974.17770589473685</v>
      </c>
      <c r="O16" s="14">
        <f t="shared" si="4"/>
        <v>974.17770589473685</v>
      </c>
      <c r="P16" s="15">
        <f t="shared" si="5"/>
        <v>16533.322368421053</v>
      </c>
      <c r="Q16" s="32"/>
    </row>
    <row r="17" spans="1:17" ht="25.5" customHeight="1" x14ac:dyDescent="0.25">
      <c r="A17" s="31">
        <v>8</v>
      </c>
      <c r="B17" s="13" t="s">
        <v>448</v>
      </c>
      <c r="C17" s="13" t="s">
        <v>210</v>
      </c>
      <c r="D17" s="14">
        <v>5026.13</v>
      </c>
      <c r="E17" s="14">
        <f t="shared" si="14"/>
        <v>330.66644736842107</v>
      </c>
      <c r="F17" s="12">
        <f t="shared" si="15"/>
        <v>365</v>
      </c>
      <c r="G17" s="12">
        <f t="shared" si="16"/>
        <v>50</v>
      </c>
      <c r="H17" s="15">
        <f t="shared" si="17"/>
        <v>16533.322368421053</v>
      </c>
      <c r="I17" s="21">
        <f t="shared" si="0"/>
        <v>2886.6</v>
      </c>
      <c r="J17" s="15">
        <f t="shared" si="1"/>
        <v>13646.722368421053</v>
      </c>
      <c r="K17" s="13"/>
      <c r="L17" s="15">
        <f t="shared" si="2"/>
        <v>16533.322368421053</v>
      </c>
      <c r="M17" s="13"/>
      <c r="N17" s="13">
        <f t="shared" si="3"/>
        <v>0</v>
      </c>
      <c r="O17" s="13">
        <f t="shared" si="4"/>
        <v>0</v>
      </c>
      <c r="P17" s="15">
        <f t="shared" si="5"/>
        <v>16533.322368421053</v>
      </c>
      <c r="Q17" s="32"/>
    </row>
    <row r="18" spans="1:17" ht="25.5" customHeight="1" x14ac:dyDescent="0.25">
      <c r="A18" s="31">
        <v>9</v>
      </c>
      <c r="B18" s="13" t="s">
        <v>449</v>
      </c>
      <c r="C18" s="13" t="s">
        <v>210</v>
      </c>
      <c r="D18" s="14">
        <v>5026.13</v>
      </c>
      <c r="E18" s="14">
        <f t="shared" si="14"/>
        <v>330.66644736842107</v>
      </c>
      <c r="F18" s="12">
        <f>21+31+30+31+30+31+31+30+31+30+31</f>
        <v>327</v>
      </c>
      <c r="G18" s="23">
        <f t="shared" si="16"/>
        <v>44.794520547945204</v>
      </c>
      <c r="H18" s="15">
        <f t="shared" si="17"/>
        <v>14812.04497116078</v>
      </c>
      <c r="I18" s="21">
        <f t="shared" si="0"/>
        <v>2586.0772602739726</v>
      </c>
      <c r="J18" s="15">
        <f t="shared" si="1"/>
        <v>12225.967710886807</v>
      </c>
      <c r="K18" s="14">
        <v>670.7045110454219</v>
      </c>
      <c r="L18" s="15">
        <f t="shared" si="2"/>
        <v>15482.749482206202</v>
      </c>
      <c r="M18" s="13"/>
      <c r="N18" s="14">
        <f t="shared" si="3"/>
        <v>670.7045110454219</v>
      </c>
      <c r="O18" s="14">
        <f t="shared" si="4"/>
        <v>670.7045110454219</v>
      </c>
      <c r="P18" s="15">
        <f t="shared" si="5"/>
        <v>14812.04497116078</v>
      </c>
      <c r="Q18" s="32"/>
    </row>
    <row r="19" spans="1:17" ht="25.5" customHeight="1" x14ac:dyDescent="0.25">
      <c r="A19" s="31">
        <v>10</v>
      </c>
      <c r="B19" s="13" t="s">
        <v>450</v>
      </c>
      <c r="C19" s="13" t="s">
        <v>210</v>
      </c>
      <c r="D19" s="14">
        <v>5026.13</v>
      </c>
      <c r="E19" s="14">
        <f t="shared" si="14"/>
        <v>330.66644736842107</v>
      </c>
      <c r="F19" s="12">
        <f>21+31+30+31+30+31+31+30+31+30+31</f>
        <v>327</v>
      </c>
      <c r="G19" s="23">
        <f t="shared" si="16"/>
        <v>44.794520547945204</v>
      </c>
      <c r="H19" s="15">
        <f t="shared" si="17"/>
        <v>14812.04497116078</v>
      </c>
      <c r="I19" s="21">
        <f t="shared" si="0"/>
        <v>2586.0772602739726</v>
      </c>
      <c r="J19" s="15">
        <f t="shared" si="1"/>
        <v>12225.967710886807</v>
      </c>
      <c r="K19" s="14">
        <v>670.7045110454219</v>
      </c>
      <c r="L19" s="15">
        <f t="shared" si="2"/>
        <v>15482.749482206202</v>
      </c>
      <c r="M19" s="13"/>
      <c r="N19" s="14">
        <f t="shared" si="3"/>
        <v>670.7045110454219</v>
      </c>
      <c r="O19" s="14">
        <f t="shared" si="4"/>
        <v>670.7045110454219</v>
      </c>
      <c r="P19" s="15">
        <f t="shared" si="5"/>
        <v>14812.04497116078</v>
      </c>
      <c r="Q19" s="32"/>
    </row>
    <row r="20" spans="1:17" ht="25.5" customHeight="1" x14ac:dyDescent="0.25">
      <c r="A20" s="31">
        <v>11</v>
      </c>
      <c r="B20" s="13" t="s">
        <v>451</v>
      </c>
      <c r="C20" s="13" t="s">
        <v>210</v>
      </c>
      <c r="D20" s="14">
        <v>5026.13</v>
      </c>
      <c r="E20" s="14">
        <f t="shared" si="14"/>
        <v>330.66644736842107</v>
      </c>
      <c r="F20" s="12">
        <f>16+30+31+30+31+31+30+31+30+5</f>
        <v>265</v>
      </c>
      <c r="G20" s="23">
        <f t="shared" si="16"/>
        <v>36.301369863013697</v>
      </c>
      <c r="H20" s="15">
        <f t="shared" si="17"/>
        <v>12003.645007209805</v>
      </c>
      <c r="I20" s="21">
        <f t="shared" si="0"/>
        <v>2095.7506849315068</v>
      </c>
      <c r="J20" s="15">
        <f t="shared" si="1"/>
        <v>9907.8943222782982</v>
      </c>
      <c r="K20" s="14">
        <v>175.56403523864492</v>
      </c>
      <c r="L20" s="15">
        <f t="shared" si="2"/>
        <v>12179.20904244845</v>
      </c>
      <c r="M20" s="13"/>
      <c r="N20" s="14">
        <f t="shared" si="3"/>
        <v>175.56403523864492</v>
      </c>
      <c r="O20" s="14">
        <f t="shared" si="4"/>
        <v>175.56403523864492</v>
      </c>
      <c r="P20" s="15">
        <f t="shared" si="5"/>
        <v>12003.645007209805</v>
      </c>
      <c r="Q20" s="32"/>
    </row>
    <row r="21" spans="1:17" ht="25.5" customHeight="1" x14ac:dyDescent="0.25">
      <c r="A21" s="31">
        <v>12</v>
      </c>
      <c r="B21" s="13" t="s">
        <v>452</v>
      </c>
      <c r="C21" s="13" t="s">
        <v>210</v>
      </c>
      <c r="D21" s="14">
        <v>5026.13</v>
      </c>
      <c r="E21" s="14">
        <f t="shared" si="14"/>
        <v>330.66644736842107</v>
      </c>
      <c r="F21" s="12">
        <f>13+31+30+31+30+31</f>
        <v>166</v>
      </c>
      <c r="G21" s="23">
        <f t="shared" si="16"/>
        <v>22.739726027397261</v>
      </c>
      <c r="H21" s="15">
        <f t="shared" si="17"/>
        <v>7519.2644196106712</v>
      </c>
      <c r="I21" s="21">
        <f t="shared" si="0"/>
        <v>1312.8098630136985</v>
      </c>
      <c r="J21" s="15">
        <f t="shared" si="1"/>
        <v>6206.4545565969729</v>
      </c>
      <c r="K21" s="14">
        <v>0</v>
      </c>
      <c r="L21" s="15">
        <f t="shared" si="2"/>
        <v>7519.2644196106712</v>
      </c>
      <c r="M21" s="13"/>
      <c r="N21" s="13">
        <f t="shared" si="3"/>
        <v>0</v>
      </c>
      <c r="O21" s="13">
        <f t="shared" si="4"/>
        <v>0</v>
      </c>
      <c r="P21" s="15">
        <f t="shared" si="5"/>
        <v>7519.2644196106712</v>
      </c>
      <c r="Q21" s="32"/>
    </row>
    <row r="22" spans="1:17" ht="25.5" customHeight="1" x14ac:dyDescent="0.25">
      <c r="A22" s="31">
        <v>13</v>
      </c>
      <c r="B22" s="13" t="s">
        <v>453</v>
      </c>
      <c r="C22" s="13" t="s">
        <v>210</v>
      </c>
      <c r="D22" s="14">
        <v>5026.13</v>
      </c>
      <c r="E22" s="14">
        <f t="shared" si="14"/>
        <v>330.66644736842107</v>
      </c>
      <c r="F22" s="12">
        <f>11+31+30+31+30+31</f>
        <v>164</v>
      </c>
      <c r="G22" s="23">
        <f t="shared" si="16"/>
        <v>22.465753424657535</v>
      </c>
      <c r="H22" s="15">
        <f t="shared" si="17"/>
        <v>7428.6708723864467</v>
      </c>
      <c r="I22" s="21">
        <f t="shared" si="0"/>
        <v>1296.9928767123288</v>
      </c>
      <c r="J22" s="15">
        <f t="shared" si="1"/>
        <v>6131.6779956741175</v>
      </c>
      <c r="K22" s="14">
        <v>0</v>
      </c>
      <c r="L22" s="15">
        <f t="shared" si="2"/>
        <v>7428.6708723864467</v>
      </c>
      <c r="M22" s="13"/>
      <c r="N22" s="13">
        <f t="shared" si="3"/>
        <v>0</v>
      </c>
      <c r="O22" s="13">
        <f t="shared" si="4"/>
        <v>0</v>
      </c>
      <c r="P22" s="15">
        <f t="shared" si="5"/>
        <v>7428.6708723864467</v>
      </c>
      <c r="Q22" s="32"/>
    </row>
    <row r="23" spans="1:17" ht="25.5" customHeight="1" x14ac:dyDescent="0.25">
      <c r="A23" s="31">
        <v>14</v>
      </c>
      <c r="B23" s="13" t="s">
        <v>454</v>
      </c>
      <c r="C23" s="13" t="s">
        <v>210</v>
      </c>
      <c r="D23" s="14">
        <v>5026.13</v>
      </c>
      <c r="E23" s="14">
        <f t="shared" si="14"/>
        <v>330.66644736842107</v>
      </c>
      <c r="F23" s="12">
        <f>11+31+30+31+30+31</f>
        <v>164</v>
      </c>
      <c r="G23" s="23">
        <f t="shared" si="16"/>
        <v>22.465753424657535</v>
      </c>
      <c r="H23" s="15">
        <f t="shared" si="17"/>
        <v>7428.6708723864467</v>
      </c>
      <c r="I23" s="21">
        <f t="shared" si="0"/>
        <v>1296.9928767123288</v>
      </c>
      <c r="J23" s="15">
        <f t="shared" si="1"/>
        <v>6131.6779956741175</v>
      </c>
      <c r="K23" s="14">
        <v>0</v>
      </c>
      <c r="L23" s="15">
        <f t="shared" si="2"/>
        <v>7428.6708723864467</v>
      </c>
      <c r="M23" s="13"/>
      <c r="N23" s="13">
        <f t="shared" si="3"/>
        <v>0</v>
      </c>
      <c r="O23" s="13">
        <f t="shared" si="4"/>
        <v>0</v>
      </c>
      <c r="P23" s="15">
        <f t="shared" si="5"/>
        <v>7428.6708723864467</v>
      </c>
      <c r="Q23" s="32"/>
    </row>
    <row r="24" spans="1:17" ht="25.5" customHeight="1" x14ac:dyDescent="0.25">
      <c r="A24" s="31">
        <v>15</v>
      </c>
      <c r="B24" s="13" t="s">
        <v>455</v>
      </c>
      <c r="C24" s="13" t="s">
        <v>210</v>
      </c>
      <c r="D24" s="14">
        <v>5026.13</v>
      </c>
      <c r="E24" s="14">
        <f t="shared" si="14"/>
        <v>330.66644736842107</v>
      </c>
      <c r="F24" s="12">
        <f>6+31+30+31+30+31</f>
        <v>159</v>
      </c>
      <c r="G24" s="23">
        <f t="shared" si="16"/>
        <v>21.780821917808218</v>
      </c>
      <c r="H24" s="15">
        <f t="shared" si="17"/>
        <v>7202.1870043258832</v>
      </c>
      <c r="I24" s="21">
        <f t="shared" si="0"/>
        <v>1257.4504109589041</v>
      </c>
      <c r="J24" s="15">
        <f t="shared" si="1"/>
        <v>5944.7365933669789</v>
      </c>
      <c r="K24" s="14">
        <v>0</v>
      </c>
      <c r="L24" s="15">
        <f t="shared" si="2"/>
        <v>7202.1870043258832</v>
      </c>
      <c r="M24" s="13"/>
      <c r="N24" s="13">
        <f t="shared" si="3"/>
        <v>0</v>
      </c>
      <c r="O24" s="13">
        <f t="shared" si="4"/>
        <v>0</v>
      </c>
      <c r="P24" s="15">
        <f t="shared" si="5"/>
        <v>7202.1870043258832</v>
      </c>
      <c r="Q24" s="32"/>
    </row>
    <row r="25" spans="1:17" ht="25.5" customHeight="1" x14ac:dyDescent="0.25">
      <c r="A25" s="31">
        <v>16</v>
      </c>
      <c r="B25" s="13" t="s">
        <v>456</v>
      </c>
      <c r="C25" s="13" t="s">
        <v>210</v>
      </c>
      <c r="D25" s="65">
        <v>5026.13</v>
      </c>
      <c r="E25" s="65">
        <f>D25*2/30.4</f>
        <v>330.66644736842107</v>
      </c>
      <c r="F25" s="12">
        <f>27+30+31+30+31</f>
        <v>149</v>
      </c>
      <c r="G25" s="23">
        <f t="shared" si="16"/>
        <v>20.410958904109588</v>
      </c>
      <c r="H25" s="15">
        <f t="shared" si="17"/>
        <v>6749.2192682047589</v>
      </c>
      <c r="I25" s="66">
        <f t="shared" si="0"/>
        <v>1178.3654794520548</v>
      </c>
      <c r="J25" s="15">
        <f t="shared" si="1"/>
        <v>5570.8537887527036</v>
      </c>
      <c r="K25" s="14">
        <v>0</v>
      </c>
      <c r="L25" s="15">
        <f t="shared" si="2"/>
        <v>6749.2192682047589</v>
      </c>
      <c r="M25" s="13"/>
      <c r="N25" s="13">
        <f t="shared" si="3"/>
        <v>0</v>
      </c>
      <c r="O25" s="13">
        <f t="shared" si="4"/>
        <v>0</v>
      </c>
      <c r="P25" s="15">
        <f t="shared" si="5"/>
        <v>6749.2192682047589</v>
      </c>
      <c r="Q25" s="32"/>
    </row>
    <row r="26" spans="1:17" ht="25.5" customHeight="1" x14ac:dyDescent="0.25">
      <c r="A26" s="31">
        <v>17</v>
      </c>
      <c r="B26" s="13" t="s">
        <v>457</v>
      </c>
      <c r="C26" s="13" t="s">
        <v>210</v>
      </c>
      <c r="D26" s="14">
        <v>5026.13</v>
      </c>
      <c r="E26" s="14">
        <f t="shared" si="14"/>
        <v>330.66644736842107</v>
      </c>
      <c r="F26" s="12">
        <f>15+31+30+31</f>
        <v>107</v>
      </c>
      <c r="G26" s="23">
        <f>F26*50/365</f>
        <v>14.657534246575343</v>
      </c>
      <c r="H26" s="15">
        <f t="shared" si="17"/>
        <v>4846.7547764960354</v>
      </c>
      <c r="I26" s="21">
        <f t="shared" si="0"/>
        <v>846.20876712328766</v>
      </c>
      <c r="J26" s="15">
        <f t="shared" si="1"/>
        <v>4000.5460093727479</v>
      </c>
      <c r="K26" s="14">
        <v>0</v>
      </c>
      <c r="L26" s="15">
        <f t="shared" si="2"/>
        <v>4846.7547764960354</v>
      </c>
      <c r="M26" s="13"/>
      <c r="N26" s="13">
        <f t="shared" si="3"/>
        <v>0</v>
      </c>
      <c r="O26" s="13">
        <f t="shared" si="4"/>
        <v>0</v>
      </c>
      <c r="P26" s="15">
        <f t="shared" si="5"/>
        <v>4846.7547764960354</v>
      </c>
      <c r="Q26" s="32"/>
    </row>
    <row r="27" spans="1:17" ht="25.5" customHeight="1" x14ac:dyDescent="0.25">
      <c r="A27" s="31">
        <v>18</v>
      </c>
      <c r="B27" s="13" t="s">
        <v>458</v>
      </c>
      <c r="C27" s="13" t="s">
        <v>210</v>
      </c>
      <c r="D27" s="14">
        <v>2593.0500000000002</v>
      </c>
      <c r="E27" s="14">
        <f t="shared" si="14"/>
        <v>170.59539473684214</v>
      </c>
      <c r="F27" s="12">
        <f t="shared" si="15"/>
        <v>365</v>
      </c>
      <c r="G27" s="12">
        <f t="shared" si="16"/>
        <v>50</v>
      </c>
      <c r="H27" s="15">
        <f t="shared" si="17"/>
        <v>8529.7697368421068</v>
      </c>
      <c r="I27" s="21">
        <f t="shared" si="0"/>
        <v>2886.6</v>
      </c>
      <c r="J27" s="15">
        <f t="shared" si="1"/>
        <v>5643.1697368421064</v>
      </c>
      <c r="K27" s="14">
        <v>663.39931789473712</v>
      </c>
      <c r="L27" s="15">
        <f t="shared" si="2"/>
        <v>9193.1690547368435</v>
      </c>
      <c r="M27" s="13"/>
      <c r="N27" s="14">
        <f t="shared" si="3"/>
        <v>663.39931789473712</v>
      </c>
      <c r="O27" s="14">
        <f t="shared" si="4"/>
        <v>663.39931789473712</v>
      </c>
      <c r="P27" s="15">
        <f t="shared" si="5"/>
        <v>8529.7697368421068</v>
      </c>
      <c r="Q27" s="32"/>
    </row>
    <row r="28" spans="1:17" x14ac:dyDescent="0.25">
      <c r="A28" s="26"/>
      <c r="B28" s="33"/>
      <c r="C28" s="33"/>
      <c r="D28" s="33"/>
      <c r="E28" s="33"/>
      <c r="F28" s="33"/>
      <c r="G28" s="33"/>
      <c r="H28" s="33"/>
      <c r="I28" s="33"/>
      <c r="J28" s="35"/>
      <c r="K28" s="33"/>
      <c r="L28" s="35"/>
      <c r="M28" s="33"/>
      <c r="N28" s="33"/>
      <c r="O28" s="33"/>
      <c r="P28" s="35"/>
      <c r="Q28" s="20"/>
    </row>
    <row r="29" spans="1:17" x14ac:dyDescent="0.25">
      <c r="A29" s="104" t="s">
        <v>402</v>
      </c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</row>
    <row r="30" spans="1:17" ht="25.5" customHeight="1" x14ac:dyDescent="0.25">
      <c r="A30" s="31">
        <v>1</v>
      </c>
      <c r="B30" s="13" t="s">
        <v>211</v>
      </c>
      <c r="C30" s="13" t="s">
        <v>212</v>
      </c>
      <c r="D30" s="14">
        <v>6726</v>
      </c>
      <c r="E30" s="14">
        <f>D30*2/30.4</f>
        <v>442.5</v>
      </c>
      <c r="F30" s="12">
        <f>31+28+31+30+31+30+31+31+30+31+30+31</f>
        <v>365</v>
      </c>
      <c r="G30" s="12">
        <f>F30*50/365</f>
        <v>50</v>
      </c>
      <c r="H30" s="15">
        <f>E30*G30</f>
        <v>22125</v>
      </c>
      <c r="I30" s="13">
        <f t="shared" si="0"/>
        <v>2886.6</v>
      </c>
      <c r="J30" s="15">
        <f t="shared" si="1"/>
        <v>19238.400000000001</v>
      </c>
      <c r="K30" s="14">
        <v>4259.9285760000021</v>
      </c>
      <c r="L30" s="15">
        <f t="shared" si="2"/>
        <v>26384.928576000002</v>
      </c>
      <c r="M30" s="13"/>
      <c r="N30" s="14">
        <f t="shared" si="3"/>
        <v>4259.9285760000021</v>
      </c>
      <c r="O30" s="14">
        <f t="shared" si="4"/>
        <v>4259.9285760000021</v>
      </c>
      <c r="P30" s="15">
        <f t="shared" si="5"/>
        <v>22125</v>
      </c>
      <c r="Q30" s="32"/>
    </row>
    <row r="31" spans="1:17" ht="25.5" customHeight="1" x14ac:dyDescent="0.25">
      <c r="A31" s="31">
        <v>2</v>
      </c>
      <c r="B31" s="13" t="s">
        <v>213</v>
      </c>
      <c r="C31" s="13" t="s">
        <v>214</v>
      </c>
      <c r="D31" s="14">
        <v>5264.23</v>
      </c>
      <c r="E31" s="14">
        <f>D31*2/30.4</f>
        <v>346.33092105263154</v>
      </c>
      <c r="F31" s="12">
        <f>31+28+31+30+31+30+31+31+30+31+30+31</f>
        <v>365</v>
      </c>
      <c r="G31" s="12">
        <f>F31*50/365</f>
        <v>50</v>
      </c>
      <c r="H31" s="15">
        <f>E31*G31</f>
        <v>17316.546052631576</v>
      </c>
      <c r="I31" s="13">
        <f t="shared" si="0"/>
        <v>2886.6</v>
      </c>
      <c r="J31" s="15">
        <f t="shared" si="1"/>
        <v>14429.946052631576</v>
      </c>
      <c r="K31" s="14">
        <v>2971.6450048421043</v>
      </c>
      <c r="L31" s="15">
        <f t="shared" si="2"/>
        <v>20288.191057473679</v>
      </c>
      <c r="M31" s="13"/>
      <c r="N31" s="14">
        <f t="shared" si="3"/>
        <v>2971.6450048421043</v>
      </c>
      <c r="O31" s="14">
        <f t="shared" si="4"/>
        <v>2971.6450048421043</v>
      </c>
      <c r="P31" s="15">
        <f t="shared" si="5"/>
        <v>17316.546052631576</v>
      </c>
      <c r="Q31" s="32"/>
    </row>
    <row r="32" spans="1:17" ht="25.5" customHeight="1" x14ac:dyDescent="0.25">
      <c r="A32" s="31">
        <v>3</v>
      </c>
      <c r="B32" s="13" t="s">
        <v>215</v>
      </c>
      <c r="C32" s="13" t="s">
        <v>214</v>
      </c>
      <c r="D32" s="14">
        <v>5264.23</v>
      </c>
      <c r="E32" s="14">
        <f>D32*2/30.4</f>
        <v>346.33092105263154</v>
      </c>
      <c r="F32" s="12">
        <f>31+28+31+30+31+30+31+31+30+31+30+31</f>
        <v>365</v>
      </c>
      <c r="G32" s="12">
        <f>F32*50/365</f>
        <v>50</v>
      </c>
      <c r="H32" s="15">
        <f>E32*G32</f>
        <v>17316.546052631576</v>
      </c>
      <c r="I32" s="13">
        <f t="shared" si="0"/>
        <v>2886.6</v>
      </c>
      <c r="J32" s="15">
        <f t="shared" si="1"/>
        <v>14429.946052631576</v>
      </c>
      <c r="K32" s="14">
        <v>2971.6450048421043</v>
      </c>
      <c r="L32" s="15">
        <f t="shared" si="2"/>
        <v>20288.191057473679</v>
      </c>
      <c r="M32" s="13"/>
      <c r="N32" s="14">
        <f t="shared" si="3"/>
        <v>2971.6450048421043</v>
      </c>
      <c r="O32" s="14">
        <f t="shared" si="4"/>
        <v>2971.6450048421043</v>
      </c>
      <c r="P32" s="15">
        <f t="shared" si="5"/>
        <v>17316.546052631576</v>
      </c>
      <c r="Q32" s="32"/>
    </row>
    <row r="33" spans="1:17" x14ac:dyDescent="0.25">
      <c r="A33" s="26"/>
      <c r="B33" s="33"/>
      <c r="C33" s="33"/>
      <c r="D33" s="33"/>
      <c r="E33" s="33"/>
      <c r="F33" s="33"/>
      <c r="G33" s="33"/>
      <c r="H33" s="33"/>
      <c r="I33" s="33"/>
      <c r="J33" s="35"/>
      <c r="K33" s="33"/>
      <c r="L33" s="35"/>
      <c r="M33" s="33"/>
      <c r="N33" s="33"/>
      <c r="O33" s="33"/>
      <c r="P33" s="35"/>
      <c r="Q33" s="20"/>
    </row>
    <row r="34" spans="1:17" ht="15.75" thickBot="1" x14ac:dyDescent="0.3">
      <c r="A34" s="120" t="s">
        <v>404</v>
      </c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2"/>
    </row>
    <row r="35" spans="1:17" ht="25.5" customHeight="1" x14ac:dyDescent="0.25">
      <c r="A35" s="69">
        <v>1</v>
      </c>
      <c r="B35" s="70" t="s">
        <v>216</v>
      </c>
      <c r="C35" s="70" t="s">
        <v>217</v>
      </c>
      <c r="D35" s="71">
        <v>5026.13</v>
      </c>
      <c r="E35" s="71">
        <f t="shared" ref="E35:E42" si="18">D35*2/30.4</f>
        <v>330.66644736842107</v>
      </c>
      <c r="F35" s="72">
        <f t="shared" ref="F35:F40" si="19">31+28+31+30+31+30+31+31+30+31+30+31</f>
        <v>365</v>
      </c>
      <c r="G35" s="72">
        <f t="shared" ref="G35:G42" si="20">F35*50/365</f>
        <v>50</v>
      </c>
      <c r="H35" s="73">
        <f t="shared" ref="H35:H42" si="21">E35*G35</f>
        <v>16533.322368421053</v>
      </c>
      <c r="I35" s="70">
        <f t="shared" si="0"/>
        <v>2886.6</v>
      </c>
      <c r="J35" s="73">
        <f t="shared" si="1"/>
        <v>13646.722368421053</v>
      </c>
      <c r="K35" s="71">
        <v>974.17770589473685</v>
      </c>
      <c r="L35" s="73">
        <f t="shared" si="2"/>
        <v>17507.500074315791</v>
      </c>
      <c r="M35" s="70"/>
      <c r="N35" s="71">
        <f t="shared" si="3"/>
        <v>974.17770589473685</v>
      </c>
      <c r="O35" s="71">
        <f t="shared" si="4"/>
        <v>974.17770589473685</v>
      </c>
      <c r="P35" s="73">
        <f t="shared" si="5"/>
        <v>16533.322368421053</v>
      </c>
      <c r="Q35" s="74"/>
    </row>
    <row r="36" spans="1:17" ht="25.5" customHeight="1" x14ac:dyDescent="0.25">
      <c r="A36" s="59">
        <v>2</v>
      </c>
      <c r="B36" s="55" t="s">
        <v>218</v>
      </c>
      <c r="C36" s="55" t="s">
        <v>217</v>
      </c>
      <c r="D36" s="56">
        <v>5026.13</v>
      </c>
      <c r="E36" s="56">
        <f t="shared" si="18"/>
        <v>330.66644736842107</v>
      </c>
      <c r="F36" s="54">
        <f t="shared" si="19"/>
        <v>365</v>
      </c>
      <c r="G36" s="54">
        <f t="shared" si="20"/>
        <v>50</v>
      </c>
      <c r="H36" s="57">
        <f t="shared" si="21"/>
        <v>16533.322368421053</v>
      </c>
      <c r="I36" s="55">
        <f t="shared" si="0"/>
        <v>2886.6</v>
      </c>
      <c r="J36" s="57">
        <f t="shared" si="1"/>
        <v>13646.722368421053</v>
      </c>
      <c r="K36" s="56">
        <v>974.17770589473685</v>
      </c>
      <c r="L36" s="57">
        <f t="shared" si="2"/>
        <v>17507.500074315791</v>
      </c>
      <c r="M36" s="55"/>
      <c r="N36" s="56">
        <f t="shared" si="3"/>
        <v>974.17770589473685</v>
      </c>
      <c r="O36" s="56">
        <f t="shared" si="4"/>
        <v>974.17770589473685</v>
      </c>
      <c r="P36" s="57">
        <f t="shared" si="5"/>
        <v>16533.322368421053</v>
      </c>
      <c r="Q36" s="60"/>
    </row>
    <row r="37" spans="1:17" ht="25.5" customHeight="1" x14ac:dyDescent="0.25">
      <c r="A37" s="31">
        <v>3</v>
      </c>
      <c r="B37" s="13" t="s">
        <v>219</v>
      </c>
      <c r="C37" s="13" t="s">
        <v>217</v>
      </c>
      <c r="D37" s="14">
        <v>5026.13</v>
      </c>
      <c r="E37" s="14">
        <f t="shared" si="18"/>
        <v>330.66644736842107</v>
      </c>
      <c r="F37" s="12">
        <f t="shared" si="19"/>
        <v>365</v>
      </c>
      <c r="G37" s="12">
        <f t="shared" si="20"/>
        <v>50</v>
      </c>
      <c r="H37" s="15">
        <f t="shared" si="21"/>
        <v>16533.322368421053</v>
      </c>
      <c r="I37" s="13">
        <f t="shared" si="0"/>
        <v>2886.6</v>
      </c>
      <c r="J37" s="15">
        <f t="shared" si="1"/>
        <v>13646.722368421053</v>
      </c>
      <c r="K37" s="14">
        <v>974.17770589473685</v>
      </c>
      <c r="L37" s="15">
        <f t="shared" si="2"/>
        <v>17507.500074315791</v>
      </c>
      <c r="M37" s="13"/>
      <c r="N37" s="14">
        <f t="shared" si="3"/>
        <v>974.17770589473685</v>
      </c>
      <c r="O37" s="14">
        <f t="shared" si="4"/>
        <v>974.17770589473685</v>
      </c>
      <c r="P37" s="15">
        <f t="shared" si="5"/>
        <v>16533.322368421053</v>
      </c>
      <c r="Q37" s="32"/>
    </row>
    <row r="38" spans="1:17" ht="25.5" customHeight="1" x14ac:dyDescent="0.25">
      <c r="A38" s="31">
        <v>4</v>
      </c>
      <c r="B38" s="13" t="s">
        <v>220</v>
      </c>
      <c r="C38" s="13" t="s">
        <v>217</v>
      </c>
      <c r="D38" s="14">
        <v>5026.13</v>
      </c>
      <c r="E38" s="14">
        <f t="shared" si="18"/>
        <v>330.66644736842107</v>
      </c>
      <c r="F38" s="12">
        <f t="shared" si="19"/>
        <v>365</v>
      </c>
      <c r="G38" s="12">
        <f t="shared" si="20"/>
        <v>50</v>
      </c>
      <c r="H38" s="15">
        <f t="shared" si="21"/>
        <v>16533.322368421053</v>
      </c>
      <c r="I38" s="13">
        <f t="shared" si="0"/>
        <v>2886.6</v>
      </c>
      <c r="J38" s="15">
        <f t="shared" si="1"/>
        <v>13646.722368421053</v>
      </c>
      <c r="K38" s="14">
        <v>974.17770589473685</v>
      </c>
      <c r="L38" s="15">
        <f t="shared" si="2"/>
        <v>17507.500074315791</v>
      </c>
      <c r="M38" s="13"/>
      <c r="N38" s="14">
        <f t="shared" si="3"/>
        <v>974.17770589473685</v>
      </c>
      <c r="O38" s="14">
        <f t="shared" si="4"/>
        <v>974.17770589473685</v>
      </c>
      <c r="P38" s="15">
        <f t="shared" si="5"/>
        <v>16533.322368421053</v>
      </c>
      <c r="Q38" s="32"/>
    </row>
    <row r="39" spans="1:17" ht="25.5" customHeight="1" x14ac:dyDescent="0.25">
      <c r="A39" s="31">
        <v>5</v>
      </c>
      <c r="B39" s="13" t="s">
        <v>221</v>
      </c>
      <c r="C39" s="13" t="s">
        <v>217</v>
      </c>
      <c r="D39" s="14">
        <v>5026.13</v>
      </c>
      <c r="E39" s="14">
        <f t="shared" si="18"/>
        <v>330.66644736842107</v>
      </c>
      <c r="F39" s="12">
        <f t="shared" si="19"/>
        <v>365</v>
      </c>
      <c r="G39" s="12">
        <f t="shared" si="20"/>
        <v>50</v>
      </c>
      <c r="H39" s="15">
        <f t="shared" si="21"/>
        <v>16533.322368421053</v>
      </c>
      <c r="I39" s="13">
        <f t="shared" si="0"/>
        <v>2886.6</v>
      </c>
      <c r="J39" s="15">
        <f t="shared" si="1"/>
        <v>13646.722368421053</v>
      </c>
      <c r="K39" s="14">
        <v>974.17770589473685</v>
      </c>
      <c r="L39" s="15">
        <f t="shared" si="2"/>
        <v>17507.500074315791</v>
      </c>
      <c r="M39" s="13"/>
      <c r="N39" s="14">
        <f t="shared" si="3"/>
        <v>974.17770589473685</v>
      </c>
      <c r="O39" s="14">
        <f t="shared" si="4"/>
        <v>974.17770589473685</v>
      </c>
      <c r="P39" s="15">
        <f t="shared" si="5"/>
        <v>16533.322368421053</v>
      </c>
      <c r="Q39" s="32"/>
    </row>
    <row r="40" spans="1:17" ht="25.5" customHeight="1" x14ac:dyDescent="0.25">
      <c r="A40" s="31">
        <v>6</v>
      </c>
      <c r="B40" s="13" t="s">
        <v>222</v>
      </c>
      <c r="C40" s="13" t="s">
        <v>217</v>
      </c>
      <c r="D40" s="14">
        <v>5026.13</v>
      </c>
      <c r="E40" s="14">
        <f t="shared" si="18"/>
        <v>330.66644736842107</v>
      </c>
      <c r="F40" s="12">
        <f t="shared" si="19"/>
        <v>365</v>
      </c>
      <c r="G40" s="12">
        <f t="shared" si="20"/>
        <v>50</v>
      </c>
      <c r="H40" s="15">
        <f t="shared" si="21"/>
        <v>16533.322368421053</v>
      </c>
      <c r="I40" s="13">
        <f t="shared" si="0"/>
        <v>2886.6</v>
      </c>
      <c r="J40" s="15">
        <f t="shared" si="1"/>
        <v>13646.722368421053</v>
      </c>
      <c r="K40" s="14">
        <v>974.17770589473685</v>
      </c>
      <c r="L40" s="15">
        <f t="shared" si="2"/>
        <v>17507.500074315791</v>
      </c>
      <c r="M40" s="13"/>
      <c r="N40" s="14">
        <f t="shared" si="3"/>
        <v>974.17770589473685</v>
      </c>
      <c r="O40" s="14">
        <f t="shared" si="4"/>
        <v>974.17770589473685</v>
      </c>
      <c r="P40" s="15">
        <f t="shared" si="5"/>
        <v>16533.322368421053</v>
      </c>
      <c r="Q40" s="32"/>
    </row>
    <row r="41" spans="1:17" ht="25.5" customHeight="1" x14ac:dyDescent="0.25">
      <c r="A41" s="31">
        <v>7</v>
      </c>
      <c r="B41" s="13" t="s">
        <v>223</v>
      </c>
      <c r="C41" s="13" t="s">
        <v>217</v>
      </c>
      <c r="D41" s="14">
        <v>5026.13</v>
      </c>
      <c r="E41" s="14">
        <f t="shared" si="18"/>
        <v>330.66644736842107</v>
      </c>
      <c r="F41" s="12">
        <f>16+30+31+31+30+31+30+31</f>
        <v>230</v>
      </c>
      <c r="G41" s="23">
        <f t="shared" si="20"/>
        <v>31.506849315068493</v>
      </c>
      <c r="H41" s="15">
        <f t="shared" si="21"/>
        <v>10418.257930785869</v>
      </c>
      <c r="I41" s="14">
        <f t="shared" si="0"/>
        <v>1818.9534246575342</v>
      </c>
      <c r="J41" s="15">
        <f t="shared" si="1"/>
        <v>8599.3045061283337</v>
      </c>
      <c r="K41" s="14">
        <v>0</v>
      </c>
      <c r="L41" s="15">
        <f t="shared" si="2"/>
        <v>10418.257930785869</v>
      </c>
      <c r="M41" s="13"/>
      <c r="N41" s="13">
        <f t="shared" si="3"/>
        <v>0</v>
      </c>
      <c r="O41" s="13">
        <f t="shared" si="4"/>
        <v>0</v>
      </c>
      <c r="P41" s="15">
        <f t="shared" si="5"/>
        <v>10418.257930785869</v>
      </c>
      <c r="Q41" s="32"/>
    </row>
    <row r="42" spans="1:17" ht="25.5" customHeight="1" x14ac:dyDescent="0.25">
      <c r="A42" s="31">
        <v>8</v>
      </c>
      <c r="B42" s="13" t="s">
        <v>224</v>
      </c>
      <c r="C42" s="13" t="s">
        <v>217</v>
      </c>
      <c r="D42" s="14">
        <v>5026.13</v>
      </c>
      <c r="E42" s="14">
        <f t="shared" si="18"/>
        <v>330.66644736842107</v>
      </c>
      <c r="F42" s="12">
        <f>23+31+30+31+31+30+31+30+31</f>
        <v>268</v>
      </c>
      <c r="G42" s="23">
        <f t="shared" si="20"/>
        <v>36.712328767123289</v>
      </c>
      <c r="H42" s="15">
        <f t="shared" si="21"/>
        <v>12139.535328046144</v>
      </c>
      <c r="I42" s="14">
        <f t="shared" si="0"/>
        <v>2119.4761643835614</v>
      </c>
      <c r="J42" s="15">
        <f t="shared" si="1"/>
        <v>10020.059163662583</v>
      </c>
      <c r="K42" s="14">
        <v>199.52244535832824</v>
      </c>
      <c r="L42" s="15">
        <f t="shared" si="2"/>
        <v>12339.057773404473</v>
      </c>
      <c r="M42" s="13"/>
      <c r="N42" s="14">
        <f t="shared" si="3"/>
        <v>199.52244535832824</v>
      </c>
      <c r="O42" s="14">
        <f t="shared" si="4"/>
        <v>199.52244535832824</v>
      </c>
      <c r="P42" s="15">
        <f t="shared" si="5"/>
        <v>12139.535328046144</v>
      </c>
      <c r="Q42" s="32"/>
    </row>
    <row r="43" spans="1:17" ht="25.5" customHeight="1" thickBot="1" x14ac:dyDescent="0.3">
      <c r="A43" s="36">
        <v>9</v>
      </c>
      <c r="B43" s="37" t="s">
        <v>399</v>
      </c>
      <c r="C43" s="37" t="s">
        <v>217</v>
      </c>
      <c r="D43" s="38">
        <v>5027.13</v>
      </c>
      <c r="E43" s="38">
        <f t="shared" ref="E43" si="22">D43*2/30.4</f>
        <v>330.73223684210529</v>
      </c>
      <c r="F43" s="39">
        <f>30+31</f>
        <v>61</v>
      </c>
      <c r="G43" s="40">
        <f t="shared" ref="G43" si="23">F43*50/365</f>
        <v>8.3561643835616444</v>
      </c>
      <c r="H43" s="41">
        <f t="shared" ref="H43" si="24">E43*G43</f>
        <v>2763.6529379956746</v>
      </c>
      <c r="I43" s="38">
        <f t="shared" ref="I43" si="25">F43*30/365*96.22</f>
        <v>482.4180821917808</v>
      </c>
      <c r="J43" s="41">
        <f t="shared" ref="J43" si="26">H43-I43</f>
        <v>2281.2348558038939</v>
      </c>
      <c r="K43" s="38">
        <v>0</v>
      </c>
      <c r="L43" s="41">
        <f t="shared" ref="L43" si="27">H43+K43</f>
        <v>2763.6529379956746</v>
      </c>
      <c r="M43" s="37"/>
      <c r="N43" s="37">
        <f t="shared" ref="N43" si="28">K43</f>
        <v>0</v>
      </c>
      <c r="O43" s="37">
        <f t="shared" si="4"/>
        <v>0</v>
      </c>
      <c r="P43" s="41">
        <f t="shared" ref="P43" si="29">L43-O43</f>
        <v>2763.6529379956746</v>
      </c>
      <c r="Q43" s="42"/>
    </row>
    <row r="44" spans="1:17" ht="15.75" x14ac:dyDescent="0.25">
      <c r="A44" s="123" t="s">
        <v>299</v>
      </c>
      <c r="B44" s="123"/>
      <c r="C44" s="123"/>
      <c r="D44" s="24">
        <f>SUM(D35:D43,D30:D32,D10:D27,D4:D6,)</f>
        <v>174430.94310000003</v>
      </c>
      <c r="E44" s="24">
        <f>SUM(E35:E43,E30:E32,E10:E27,E4:E6,)</f>
        <v>11475.719940789479</v>
      </c>
      <c r="F44" s="25"/>
      <c r="G44" s="25"/>
      <c r="H44" s="24">
        <f>SUM(H35:H43,H30:H32,H10:H27,H4:H6,)</f>
        <v>483506.78750450612</v>
      </c>
      <c r="I44" s="43"/>
      <c r="J44" s="43">
        <v>39256.902150529924</v>
      </c>
      <c r="K44" s="43">
        <v>39256.902150529902</v>
      </c>
      <c r="L44" s="43">
        <v>39256.902150529924</v>
      </c>
      <c r="M44" s="25"/>
      <c r="N44" s="24">
        <f>SUM(N35:N43,N30:N32,N10:N27,N4:N7,)</f>
        <v>40665.692150529925</v>
      </c>
      <c r="O44" s="24">
        <f>SUM(O35:O43,O30:O32,O10:O27,O4:O6,)</f>
        <v>39256.902150529924</v>
      </c>
      <c r="P44" s="24">
        <f>SUM(P35:P43,P30:P32,P10:P27,P4:P7,)</f>
        <v>500486.23750450619</v>
      </c>
      <c r="Q44" s="44"/>
    </row>
    <row r="52" spans="2:17" x14ac:dyDescent="0.25">
      <c r="B52" s="67" t="s">
        <v>423</v>
      </c>
      <c r="F52" s="110" t="s">
        <v>425</v>
      </c>
      <c r="G52" s="110"/>
      <c r="H52" s="110"/>
      <c r="I52" s="110"/>
      <c r="P52" s="110" t="s">
        <v>427</v>
      </c>
      <c r="Q52" s="110"/>
    </row>
    <row r="53" spans="2:17" x14ac:dyDescent="0.25">
      <c r="B53" s="68" t="s">
        <v>424</v>
      </c>
      <c r="F53" s="111" t="s">
        <v>426</v>
      </c>
      <c r="G53" s="111"/>
      <c r="H53" s="111"/>
      <c r="I53" s="111"/>
      <c r="P53" s="111" t="s">
        <v>428</v>
      </c>
      <c r="Q53" s="111"/>
    </row>
  </sheetData>
  <mergeCells count="10">
    <mergeCell ref="F52:I52"/>
    <mergeCell ref="F53:I53"/>
    <mergeCell ref="P52:Q52"/>
    <mergeCell ref="P53:Q53"/>
    <mergeCell ref="A44:C44"/>
    <mergeCell ref="A1:Q1"/>
    <mergeCell ref="A2:Q2"/>
    <mergeCell ref="A29:Q29"/>
    <mergeCell ref="A34:Q34"/>
    <mergeCell ref="A9:Q9"/>
  </mergeCells>
  <pageMargins left="0.7" right="0.7" top="0.75" bottom="0.75" header="0.3" footer="0.3"/>
  <pageSetup paperSize="14" scale="60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277F4-4D26-4ECC-93C0-0A3E91A2FC70}">
  <dimension ref="A1:W100"/>
  <sheetViews>
    <sheetView topLeftCell="E73" workbookViewId="0">
      <selection activeCell="Q91" sqref="Q91"/>
    </sheetView>
  </sheetViews>
  <sheetFormatPr baseColWidth="10" defaultRowHeight="15" x14ac:dyDescent="0.25"/>
  <cols>
    <col min="1" max="1" width="24.7109375" customWidth="1"/>
    <col min="4" max="4" width="24.42578125" customWidth="1"/>
    <col min="7" max="7" width="24.42578125" customWidth="1"/>
    <col min="10" max="10" width="24.28515625" customWidth="1"/>
    <col min="13" max="13" width="24.42578125" customWidth="1"/>
    <col min="16" max="16" width="24.5703125" customWidth="1"/>
    <col min="19" max="19" width="24.42578125" customWidth="1"/>
    <col min="22" max="22" width="24.42578125" customWidth="1"/>
  </cols>
  <sheetData>
    <row r="1" spans="1:23" ht="18.75" x14ac:dyDescent="0.3">
      <c r="A1" s="95" t="s">
        <v>383</v>
      </c>
      <c r="B1" s="96"/>
      <c r="C1" s="3"/>
      <c r="D1" s="96"/>
      <c r="E1" s="96"/>
      <c r="G1" s="95" t="s">
        <v>384</v>
      </c>
      <c r="H1" s="96"/>
      <c r="I1" s="3"/>
      <c r="J1" s="96"/>
      <c r="K1" s="96"/>
      <c r="M1" s="95" t="s">
        <v>385</v>
      </c>
      <c r="N1" s="96"/>
      <c r="O1" s="3"/>
      <c r="P1" s="96"/>
      <c r="Q1" s="96"/>
      <c r="S1" s="95" t="s">
        <v>386</v>
      </c>
      <c r="T1" s="96"/>
      <c r="U1" s="3"/>
      <c r="V1" s="96"/>
      <c r="W1" s="96"/>
    </row>
    <row r="2" spans="1:23" x14ac:dyDescent="0.25">
      <c r="A2" s="3"/>
      <c r="B2" s="3"/>
      <c r="C2" s="3"/>
      <c r="D2" s="3"/>
      <c r="E2" s="3"/>
      <c r="G2" s="3"/>
      <c r="H2" s="3"/>
      <c r="I2" s="3"/>
      <c r="J2" s="3"/>
      <c r="K2" s="3"/>
      <c r="M2" s="3"/>
      <c r="N2" s="3"/>
      <c r="O2" s="3"/>
      <c r="P2" s="3"/>
      <c r="Q2" s="3"/>
      <c r="S2" s="3"/>
      <c r="T2" s="3"/>
      <c r="U2" s="3"/>
      <c r="V2" s="3"/>
      <c r="W2" s="3"/>
    </row>
    <row r="3" spans="1:23" x14ac:dyDescent="0.25">
      <c r="A3" s="3"/>
      <c r="B3" s="3"/>
      <c r="C3" s="3"/>
      <c r="D3" s="3" t="s">
        <v>249</v>
      </c>
      <c r="E3" s="3">
        <f>B5</f>
        <v>17840.099999999999</v>
      </c>
      <c r="G3" s="3"/>
      <c r="H3" s="3"/>
      <c r="I3" s="3"/>
      <c r="J3" s="3" t="s">
        <v>249</v>
      </c>
      <c r="K3" s="3">
        <f>H5</f>
        <v>16720</v>
      </c>
      <c r="M3" s="3"/>
      <c r="N3" s="3"/>
      <c r="O3" s="3"/>
      <c r="P3" s="3" t="s">
        <v>249</v>
      </c>
      <c r="Q3" s="3">
        <f>N5</f>
        <v>13246</v>
      </c>
      <c r="S3" s="3"/>
      <c r="T3" s="3"/>
      <c r="U3" s="3"/>
      <c r="V3" s="3" t="s">
        <v>249</v>
      </c>
      <c r="W3" s="3">
        <f>T5</f>
        <v>10052.26</v>
      </c>
    </row>
    <row r="4" spans="1:23" x14ac:dyDescent="0.25">
      <c r="A4" s="3"/>
      <c r="B4" s="3"/>
      <c r="C4" s="3"/>
      <c r="D4" s="3" t="s">
        <v>250</v>
      </c>
      <c r="E4" s="3">
        <v>26455.679934210526</v>
      </c>
      <c r="G4" s="3"/>
      <c r="H4" s="3"/>
      <c r="I4" s="3"/>
      <c r="J4" s="3" t="s">
        <v>250</v>
      </c>
      <c r="K4" s="3">
        <v>24613.4</v>
      </c>
      <c r="M4" s="3"/>
      <c r="N4" s="3"/>
      <c r="O4" s="3"/>
      <c r="P4" s="3" t="s">
        <v>250</v>
      </c>
      <c r="Q4" s="3">
        <v>18899.584210526318</v>
      </c>
      <c r="S4" s="3"/>
      <c r="T4" s="3"/>
      <c r="U4" s="3"/>
      <c r="V4" s="3" t="s">
        <v>250</v>
      </c>
      <c r="W4" s="3">
        <v>13646.722368421053</v>
      </c>
    </row>
    <row r="5" spans="1:23" x14ac:dyDescent="0.25">
      <c r="A5" s="3" t="s">
        <v>249</v>
      </c>
      <c r="B5" s="3">
        <f>8920.05*2</f>
        <v>17840.099999999999</v>
      </c>
      <c r="C5" s="3"/>
      <c r="D5" s="3" t="s">
        <v>251</v>
      </c>
      <c r="E5" s="3">
        <f>E3+E4</f>
        <v>44295.779934210528</v>
      </c>
      <c r="G5" s="3" t="s">
        <v>249</v>
      </c>
      <c r="H5" s="3">
        <f>8360*2</f>
        <v>16720</v>
      </c>
      <c r="I5" s="3"/>
      <c r="J5" s="3" t="s">
        <v>251</v>
      </c>
      <c r="K5" s="3">
        <f>K3+K4</f>
        <v>41333.4</v>
      </c>
      <c r="M5" s="3" t="s">
        <v>249</v>
      </c>
      <c r="N5" s="3">
        <f>6623*2</f>
        <v>13246</v>
      </c>
      <c r="O5" s="3"/>
      <c r="P5" s="3" t="s">
        <v>251</v>
      </c>
      <c r="Q5" s="3">
        <f>Q3+Q4</f>
        <v>32145.584210526318</v>
      </c>
      <c r="S5" s="3" t="s">
        <v>249</v>
      </c>
      <c r="T5" s="3">
        <f>5026.13*2</f>
        <v>10052.26</v>
      </c>
      <c r="U5" s="3"/>
      <c r="V5" s="3" t="s">
        <v>251</v>
      </c>
      <c r="W5" s="3">
        <f>W3+W4</f>
        <v>23698.982368421053</v>
      </c>
    </row>
    <row r="6" spans="1:23" x14ac:dyDescent="0.25">
      <c r="A6" s="3" t="s">
        <v>252</v>
      </c>
      <c r="B6" s="3">
        <v>13381.48</v>
      </c>
      <c r="C6" s="3"/>
      <c r="D6" s="3" t="s">
        <v>252</v>
      </c>
      <c r="E6" s="3">
        <v>42537.59</v>
      </c>
      <c r="G6" s="3" t="s">
        <v>252</v>
      </c>
      <c r="H6" s="3">
        <v>13381.48</v>
      </c>
      <c r="I6" s="3"/>
      <c r="J6" s="3" t="s">
        <v>252</v>
      </c>
      <c r="K6" s="3">
        <v>26988.51</v>
      </c>
      <c r="M6" s="3" t="s">
        <v>252</v>
      </c>
      <c r="N6" s="3">
        <v>13381.48</v>
      </c>
      <c r="O6" s="3"/>
      <c r="P6" s="3" t="s">
        <v>252</v>
      </c>
      <c r="Q6" s="3">
        <v>13381.48</v>
      </c>
      <c r="S6" s="3" t="s">
        <v>252</v>
      </c>
      <c r="T6" s="3">
        <v>9614.67</v>
      </c>
      <c r="U6" s="3"/>
      <c r="V6" s="3" t="s">
        <v>252</v>
      </c>
      <c r="W6" s="3">
        <v>13381.48</v>
      </c>
    </row>
    <row r="7" spans="1:23" x14ac:dyDescent="0.25">
      <c r="A7" s="3" t="s">
        <v>253</v>
      </c>
      <c r="B7" s="3">
        <f>B5-B6</f>
        <v>4458.619999999999</v>
      </c>
      <c r="C7" s="3"/>
      <c r="D7" s="3" t="s">
        <v>253</v>
      </c>
      <c r="E7" s="3">
        <f>(E5-E6)</f>
        <v>1758.1899342105316</v>
      </c>
      <c r="G7" s="3" t="s">
        <v>253</v>
      </c>
      <c r="H7" s="3">
        <f>H5-H6</f>
        <v>3338.5200000000004</v>
      </c>
      <c r="I7" s="3"/>
      <c r="J7" s="3" t="s">
        <v>253</v>
      </c>
      <c r="K7" s="3">
        <f>(K5-K6)</f>
        <v>14344.890000000003</v>
      </c>
      <c r="M7" s="3" t="s">
        <v>253</v>
      </c>
      <c r="N7" s="3">
        <v>11716.63</v>
      </c>
      <c r="O7" s="3"/>
      <c r="P7" s="3" t="s">
        <v>253</v>
      </c>
      <c r="Q7" s="3">
        <f>(Q5-Q6)</f>
        <v>18764.104210526319</v>
      </c>
      <c r="S7" s="3" t="s">
        <v>253</v>
      </c>
      <c r="T7" s="3">
        <v>11716.63</v>
      </c>
      <c r="U7" s="3"/>
      <c r="V7" s="3" t="s">
        <v>253</v>
      </c>
      <c r="W7" s="3">
        <f>(W5-W6)</f>
        <v>10317.502368421054</v>
      </c>
    </row>
    <row r="8" spans="1:23" x14ac:dyDescent="0.25">
      <c r="A8" s="3" t="s">
        <v>254</v>
      </c>
      <c r="B8" s="5">
        <v>0.21360000000000001</v>
      </c>
      <c r="C8" s="3"/>
      <c r="D8" s="3" t="s">
        <v>254</v>
      </c>
      <c r="E8" s="5">
        <v>0.3</v>
      </c>
      <c r="G8" s="3" t="s">
        <v>254</v>
      </c>
      <c r="H8" s="5">
        <v>0.21360000000000001</v>
      </c>
      <c r="I8" s="3"/>
      <c r="J8" s="3" t="s">
        <v>254</v>
      </c>
      <c r="K8" s="5">
        <v>0.23519999999999999</v>
      </c>
      <c r="M8" s="3" t="s">
        <v>254</v>
      </c>
      <c r="N8" s="5">
        <v>0.1792</v>
      </c>
      <c r="O8" s="3"/>
      <c r="P8" s="3" t="s">
        <v>254</v>
      </c>
      <c r="Q8" s="5">
        <v>0.21360000000000001</v>
      </c>
      <c r="S8" s="3" t="s">
        <v>254</v>
      </c>
      <c r="T8" s="5">
        <v>0.16</v>
      </c>
      <c r="U8" s="3"/>
      <c r="V8" s="3" t="s">
        <v>254</v>
      </c>
      <c r="W8" s="5">
        <v>0.21360000000000001</v>
      </c>
    </row>
    <row r="9" spans="1:23" x14ac:dyDescent="0.25">
      <c r="A9" s="3" t="s">
        <v>255</v>
      </c>
      <c r="B9" s="3">
        <f>B7*B8</f>
        <v>952.36123199999986</v>
      </c>
      <c r="C9" s="3"/>
      <c r="D9" s="3" t="s">
        <v>255</v>
      </c>
      <c r="E9" s="3">
        <f>(E7*E8)</f>
        <v>527.45698026315949</v>
      </c>
      <c r="G9" s="3" t="s">
        <v>255</v>
      </c>
      <c r="H9" s="3">
        <f>H7*H8</f>
        <v>713.10787200000016</v>
      </c>
      <c r="I9" s="3"/>
      <c r="J9" s="3" t="s">
        <v>255</v>
      </c>
      <c r="K9" s="3">
        <f>(K7*K8)</f>
        <v>3373.9181280000007</v>
      </c>
      <c r="M9" s="3" t="s">
        <v>255</v>
      </c>
      <c r="N9" s="3">
        <f>N7*N8</f>
        <v>2099.6200959999996</v>
      </c>
      <c r="O9" s="3"/>
      <c r="P9" s="3" t="s">
        <v>255</v>
      </c>
      <c r="Q9" s="3">
        <f>(Q7*Q8)</f>
        <v>4008.0126593684217</v>
      </c>
      <c r="S9" s="3" t="s">
        <v>255</v>
      </c>
      <c r="T9" s="3">
        <f>T7*T8</f>
        <v>1874.6607999999999</v>
      </c>
      <c r="U9" s="3"/>
      <c r="V9" s="3" t="s">
        <v>255</v>
      </c>
      <c r="W9" s="3">
        <f>(W7*W8)</f>
        <v>2203.818505894737</v>
      </c>
    </row>
    <row r="10" spans="1:23" x14ac:dyDescent="0.25">
      <c r="A10" s="3" t="s">
        <v>256</v>
      </c>
      <c r="B10" s="3">
        <v>1417.12</v>
      </c>
      <c r="C10" s="3"/>
      <c r="D10" s="3" t="s">
        <v>256</v>
      </c>
      <c r="E10" s="3">
        <v>7980.73</v>
      </c>
      <c r="G10" s="3" t="s">
        <v>256</v>
      </c>
      <c r="H10" s="3">
        <v>1417.12</v>
      </c>
      <c r="I10" s="3"/>
      <c r="J10" s="3" t="s">
        <v>256</v>
      </c>
      <c r="K10" s="3">
        <v>4323.58</v>
      </c>
      <c r="M10" s="3" t="s">
        <v>256</v>
      </c>
      <c r="N10" s="3">
        <v>1022.01</v>
      </c>
      <c r="O10" s="3"/>
      <c r="P10" s="3" t="s">
        <v>256</v>
      </c>
      <c r="Q10" s="3">
        <v>1417.12</v>
      </c>
      <c r="S10" s="3" t="s">
        <v>256</v>
      </c>
      <c r="T10" s="3">
        <v>772.1</v>
      </c>
      <c r="U10" s="3"/>
      <c r="V10" s="3" t="s">
        <v>256</v>
      </c>
      <c r="W10" s="3">
        <v>1417.12</v>
      </c>
    </row>
    <row r="11" spans="1:23" x14ac:dyDescent="0.25">
      <c r="A11" s="3" t="s">
        <v>257</v>
      </c>
      <c r="B11" s="3">
        <f>B9+B10</f>
        <v>2369.4812319999996</v>
      </c>
      <c r="C11" s="3"/>
      <c r="D11" s="3" t="s">
        <v>257</v>
      </c>
      <c r="E11" s="3">
        <f>(E9+E10)</f>
        <v>8508.1869802631591</v>
      </c>
      <c r="G11" s="3" t="s">
        <v>257</v>
      </c>
      <c r="H11" s="3">
        <f>H9+H10</f>
        <v>2130.2278719999999</v>
      </c>
      <c r="I11" s="3"/>
      <c r="J11" s="3" t="s">
        <v>257</v>
      </c>
      <c r="K11" s="3">
        <f>(K9+K10)</f>
        <v>7697.4981280000011</v>
      </c>
      <c r="M11" s="3" t="s">
        <v>257</v>
      </c>
      <c r="N11" s="3">
        <f>N9+N10</f>
        <v>3121.6300959999999</v>
      </c>
      <c r="O11" s="3"/>
      <c r="P11" s="3" t="s">
        <v>257</v>
      </c>
      <c r="Q11" s="3">
        <f>(Q9+Q10)</f>
        <v>5425.1326593684216</v>
      </c>
      <c r="S11" s="3" t="s">
        <v>257</v>
      </c>
      <c r="T11" s="3">
        <f>T9+T10</f>
        <v>2646.7608</v>
      </c>
      <c r="U11" s="3"/>
      <c r="V11" s="3" t="s">
        <v>257</v>
      </c>
      <c r="W11" s="3">
        <f>(W9+W10)</f>
        <v>3620.9385058947369</v>
      </c>
    </row>
    <row r="12" spans="1:23" x14ac:dyDescent="0.25">
      <c r="A12" s="3" t="s">
        <v>258</v>
      </c>
      <c r="B12" s="3"/>
      <c r="C12" s="3"/>
      <c r="D12" s="3" t="s">
        <v>258</v>
      </c>
      <c r="E12" s="3"/>
      <c r="G12" s="3" t="s">
        <v>258</v>
      </c>
      <c r="H12" s="3"/>
      <c r="I12" s="3"/>
      <c r="J12" s="3" t="s">
        <v>258</v>
      </c>
      <c r="K12" s="3"/>
      <c r="M12" s="3" t="s">
        <v>258</v>
      </c>
      <c r="N12" s="3"/>
      <c r="O12" s="3"/>
      <c r="P12" s="3" t="s">
        <v>258</v>
      </c>
      <c r="Q12" s="3"/>
      <c r="S12" s="3" t="s">
        <v>258</v>
      </c>
      <c r="T12" s="3"/>
      <c r="U12" s="3"/>
      <c r="V12" s="3" t="s">
        <v>258</v>
      </c>
      <c r="W12" s="3"/>
    </row>
    <row r="13" spans="1:23" x14ac:dyDescent="0.25">
      <c r="A13" s="3" t="s">
        <v>259</v>
      </c>
      <c r="B13" s="3">
        <f>(B11-B12)</f>
        <v>2369.4812319999996</v>
      </c>
      <c r="C13" s="3"/>
      <c r="D13" s="3" t="s">
        <v>259</v>
      </c>
      <c r="E13" s="3">
        <f>(E11-E12)</f>
        <v>8508.1869802631591</v>
      </c>
      <c r="G13" s="3" t="s">
        <v>259</v>
      </c>
      <c r="H13" s="3">
        <f>(H11-H12)</f>
        <v>2130.2278719999999</v>
      </c>
      <c r="I13" s="3"/>
      <c r="J13" s="3" t="s">
        <v>259</v>
      </c>
      <c r="K13" s="3">
        <f>(K11-K12)</f>
        <v>7697.4981280000011</v>
      </c>
      <c r="M13" s="3" t="s">
        <v>259</v>
      </c>
      <c r="N13" s="3">
        <f>(N11-N12)</f>
        <v>3121.6300959999999</v>
      </c>
      <c r="O13" s="3"/>
      <c r="P13" s="3" t="s">
        <v>259</v>
      </c>
      <c r="Q13" s="3">
        <f>(Q11-Q12)</f>
        <v>5425.1326593684216</v>
      </c>
      <c r="S13" s="3" t="s">
        <v>259</v>
      </c>
      <c r="T13" s="3">
        <f>(T11-T12)</f>
        <v>2646.7608</v>
      </c>
      <c r="U13" s="3"/>
      <c r="V13" s="3" t="s">
        <v>259</v>
      </c>
      <c r="W13" s="3">
        <f>(W11-W12)</f>
        <v>3620.9385058947369</v>
      </c>
    </row>
    <row r="14" spans="1:23" x14ac:dyDescent="0.25">
      <c r="A14" s="3"/>
      <c r="B14" s="3"/>
      <c r="C14" s="3"/>
      <c r="D14" s="3"/>
      <c r="E14" s="3"/>
      <c r="G14" s="3"/>
      <c r="H14" s="3"/>
      <c r="I14" s="3"/>
      <c r="J14" s="3"/>
      <c r="K14" s="3"/>
      <c r="M14" s="3"/>
      <c r="N14" s="3"/>
      <c r="O14" s="3"/>
      <c r="P14" s="3"/>
      <c r="Q14" s="3"/>
      <c r="S14" s="3"/>
      <c r="T14" s="3"/>
      <c r="U14" s="3"/>
      <c r="V14" s="3"/>
      <c r="W14" s="3"/>
    </row>
    <row r="15" spans="1:23" x14ac:dyDescent="0.25">
      <c r="A15" s="3"/>
      <c r="B15" s="3"/>
      <c r="C15" s="3"/>
      <c r="D15" s="3" t="s">
        <v>260</v>
      </c>
      <c r="E15" s="3">
        <f>E13-B13</f>
        <v>6138.705748263159</v>
      </c>
      <c r="G15" s="3"/>
      <c r="H15" s="3"/>
      <c r="I15" s="3"/>
      <c r="J15" s="3" t="s">
        <v>260</v>
      </c>
      <c r="K15" s="3">
        <f>K13-H13</f>
        <v>5567.2702560000016</v>
      </c>
      <c r="M15" s="3"/>
      <c r="N15" s="3"/>
      <c r="O15" s="3"/>
      <c r="P15" s="3" t="s">
        <v>260</v>
      </c>
      <c r="Q15" s="3">
        <f>Q13-N13</f>
        <v>2303.5025633684218</v>
      </c>
      <c r="S15" s="3"/>
      <c r="T15" s="3"/>
      <c r="U15" s="3"/>
      <c r="V15" s="3" t="s">
        <v>260</v>
      </c>
      <c r="W15" s="3">
        <f>W13-T13</f>
        <v>974.17770589473685</v>
      </c>
    </row>
    <row r="18" spans="1:23" ht="18.75" x14ac:dyDescent="0.3">
      <c r="A18" s="95" t="s">
        <v>387</v>
      </c>
      <c r="B18" s="96"/>
      <c r="C18" s="3"/>
      <c r="D18" s="96"/>
      <c r="E18" s="96"/>
      <c r="G18" s="95" t="s">
        <v>388</v>
      </c>
      <c r="H18" s="96"/>
      <c r="I18" s="3"/>
      <c r="J18" s="96"/>
      <c r="K18" s="96"/>
      <c r="M18" s="95" t="s">
        <v>389</v>
      </c>
      <c r="N18" s="96"/>
      <c r="O18" s="3"/>
      <c r="P18" s="96"/>
      <c r="Q18" s="96"/>
      <c r="S18" s="95" t="s">
        <v>390</v>
      </c>
      <c r="T18" s="96"/>
      <c r="U18" s="3"/>
      <c r="V18" s="96"/>
      <c r="W18" s="96"/>
    </row>
    <row r="19" spans="1:23" x14ac:dyDescent="0.25">
      <c r="A19" s="3"/>
      <c r="B19" s="3"/>
      <c r="C19" s="3"/>
      <c r="D19" s="3"/>
      <c r="E19" s="3"/>
      <c r="G19" s="3"/>
      <c r="H19" s="3"/>
      <c r="I19" s="3"/>
      <c r="J19" s="3"/>
      <c r="K19" s="3"/>
      <c r="M19" s="3"/>
      <c r="N19" s="3"/>
      <c r="O19" s="3"/>
      <c r="P19" s="3"/>
      <c r="Q19" s="3"/>
      <c r="S19" s="3"/>
      <c r="T19" s="3"/>
      <c r="U19" s="3"/>
      <c r="V19" s="3"/>
      <c r="W19" s="3"/>
    </row>
    <row r="20" spans="1:23" x14ac:dyDescent="0.25">
      <c r="A20" s="3"/>
      <c r="B20" s="3"/>
      <c r="C20" s="3"/>
      <c r="D20" s="3" t="s">
        <v>249</v>
      </c>
      <c r="E20" s="3">
        <f>B22</f>
        <v>10052.26</v>
      </c>
      <c r="G20" s="3"/>
      <c r="H20" s="3"/>
      <c r="I20" s="3"/>
      <c r="J20" s="3" t="s">
        <v>249</v>
      </c>
      <c r="K20" s="3">
        <f>H22</f>
        <v>10052.26</v>
      </c>
      <c r="M20" s="3"/>
      <c r="N20" s="3"/>
      <c r="O20" s="3"/>
      <c r="P20" s="3" t="s">
        <v>249</v>
      </c>
      <c r="Q20" s="3">
        <f>N22</f>
        <v>10052.26</v>
      </c>
      <c r="S20" s="3"/>
      <c r="T20" s="3"/>
      <c r="U20" s="3"/>
      <c r="V20" s="3" t="s">
        <v>249</v>
      </c>
      <c r="W20" s="3">
        <f>T22</f>
        <v>10052.26</v>
      </c>
    </row>
    <row r="21" spans="1:23" x14ac:dyDescent="0.25">
      <c r="A21" s="3"/>
      <c r="B21" s="3"/>
      <c r="C21" s="3"/>
      <c r="D21" s="3" t="s">
        <v>250</v>
      </c>
      <c r="E21" s="3">
        <v>13646.722368421053</v>
      </c>
      <c r="G21" s="3"/>
      <c r="H21" s="3"/>
      <c r="I21" s="3"/>
      <c r="J21" s="3" t="s">
        <v>250</v>
      </c>
      <c r="K21" s="3">
        <v>13646.722368421053</v>
      </c>
      <c r="M21" s="3"/>
      <c r="N21" s="3"/>
      <c r="O21" s="3"/>
      <c r="P21" s="3" t="s">
        <v>250</v>
      </c>
      <c r="Q21" s="3">
        <v>13646.722368421053</v>
      </c>
      <c r="S21" s="3"/>
      <c r="T21" s="3"/>
      <c r="U21" s="3"/>
      <c r="V21" s="3" t="s">
        <v>250</v>
      </c>
      <c r="W21" s="3">
        <v>13646.722368421053</v>
      </c>
    </row>
    <row r="22" spans="1:23" x14ac:dyDescent="0.25">
      <c r="A22" s="3" t="s">
        <v>249</v>
      </c>
      <c r="B22" s="3">
        <f>5026.13*2</f>
        <v>10052.26</v>
      </c>
      <c r="C22" s="3"/>
      <c r="D22" s="3" t="s">
        <v>251</v>
      </c>
      <c r="E22" s="3">
        <f>E20+E21</f>
        <v>23698.982368421053</v>
      </c>
      <c r="G22" s="3" t="s">
        <v>249</v>
      </c>
      <c r="H22" s="3">
        <f>5026.13*2</f>
        <v>10052.26</v>
      </c>
      <c r="I22" s="3"/>
      <c r="J22" s="3" t="s">
        <v>251</v>
      </c>
      <c r="K22" s="3">
        <f>K20+K21</f>
        <v>23698.982368421053</v>
      </c>
      <c r="M22" s="3" t="s">
        <v>249</v>
      </c>
      <c r="N22" s="3">
        <f>5026.13*2</f>
        <v>10052.26</v>
      </c>
      <c r="O22" s="3"/>
      <c r="P22" s="3" t="s">
        <v>251</v>
      </c>
      <c r="Q22" s="3">
        <f>Q20+Q21</f>
        <v>23698.982368421053</v>
      </c>
      <c r="S22" s="3" t="s">
        <v>249</v>
      </c>
      <c r="T22" s="3">
        <f>5026.13*2</f>
        <v>10052.26</v>
      </c>
      <c r="U22" s="3"/>
      <c r="V22" s="3" t="s">
        <v>251</v>
      </c>
      <c r="W22" s="3">
        <f>W20+W21</f>
        <v>23698.982368421053</v>
      </c>
    </row>
    <row r="23" spans="1:23" x14ac:dyDescent="0.25">
      <c r="A23" s="3" t="s">
        <v>252</v>
      </c>
      <c r="B23" s="3">
        <v>9614.67</v>
      </c>
      <c r="C23" s="3"/>
      <c r="D23" s="3" t="s">
        <v>252</v>
      </c>
      <c r="E23" s="3">
        <v>13381.48</v>
      </c>
      <c r="G23" s="3" t="s">
        <v>252</v>
      </c>
      <c r="H23" s="3">
        <v>9614.67</v>
      </c>
      <c r="I23" s="3"/>
      <c r="J23" s="3" t="s">
        <v>252</v>
      </c>
      <c r="K23" s="3">
        <v>13381.48</v>
      </c>
      <c r="M23" s="3" t="s">
        <v>252</v>
      </c>
      <c r="N23" s="3">
        <v>9614.67</v>
      </c>
      <c r="O23" s="3"/>
      <c r="P23" s="3" t="s">
        <v>252</v>
      </c>
      <c r="Q23" s="3">
        <v>13381.48</v>
      </c>
      <c r="S23" s="3" t="s">
        <v>252</v>
      </c>
      <c r="T23" s="3">
        <v>9614.67</v>
      </c>
      <c r="U23" s="3"/>
      <c r="V23" s="3" t="s">
        <v>252</v>
      </c>
      <c r="W23" s="3">
        <v>13381.48</v>
      </c>
    </row>
    <row r="24" spans="1:23" x14ac:dyDescent="0.25">
      <c r="A24" s="3" t="s">
        <v>253</v>
      </c>
      <c r="B24" s="3">
        <v>11716.63</v>
      </c>
      <c r="C24" s="3"/>
      <c r="D24" s="3" t="s">
        <v>253</v>
      </c>
      <c r="E24" s="3">
        <f>(E22-E23)</f>
        <v>10317.502368421054</v>
      </c>
      <c r="G24" s="3" t="s">
        <v>253</v>
      </c>
      <c r="H24" s="3">
        <v>11716.63</v>
      </c>
      <c r="I24" s="3"/>
      <c r="J24" s="3" t="s">
        <v>253</v>
      </c>
      <c r="K24" s="3">
        <f>(K22-K23)</f>
        <v>10317.502368421054</v>
      </c>
      <c r="M24" s="3" t="s">
        <v>253</v>
      </c>
      <c r="N24" s="3">
        <v>11716.63</v>
      </c>
      <c r="O24" s="3"/>
      <c r="P24" s="3" t="s">
        <v>253</v>
      </c>
      <c r="Q24" s="3">
        <f>(Q22-Q23)</f>
        <v>10317.502368421054</v>
      </c>
      <c r="S24" s="3" t="s">
        <v>253</v>
      </c>
      <c r="T24" s="3">
        <v>11716.63</v>
      </c>
      <c r="U24" s="3"/>
      <c r="V24" s="3" t="s">
        <v>253</v>
      </c>
      <c r="W24" s="3">
        <f>(W22-W23)</f>
        <v>10317.502368421054</v>
      </c>
    </row>
    <row r="25" spans="1:23" x14ac:dyDescent="0.25">
      <c r="A25" s="3" t="s">
        <v>254</v>
      </c>
      <c r="B25" s="5">
        <v>0.16</v>
      </c>
      <c r="C25" s="3"/>
      <c r="D25" s="3" t="s">
        <v>254</v>
      </c>
      <c r="E25" s="5">
        <v>0.21360000000000001</v>
      </c>
      <c r="G25" s="3" t="s">
        <v>254</v>
      </c>
      <c r="H25" s="5">
        <v>0.16</v>
      </c>
      <c r="I25" s="3"/>
      <c r="J25" s="3" t="s">
        <v>254</v>
      </c>
      <c r="K25" s="5">
        <v>0.21360000000000001</v>
      </c>
      <c r="M25" s="3" t="s">
        <v>254</v>
      </c>
      <c r="N25" s="5">
        <v>0.16</v>
      </c>
      <c r="O25" s="3"/>
      <c r="P25" s="3" t="s">
        <v>254</v>
      </c>
      <c r="Q25" s="5">
        <v>0.21360000000000001</v>
      </c>
      <c r="S25" s="3" t="s">
        <v>254</v>
      </c>
      <c r="T25" s="5">
        <v>0.16</v>
      </c>
      <c r="U25" s="3"/>
      <c r="V25" s="3" t="s">
        <v>254</v>
      </c>
      <c r="W25" s="5">
        <v>0.21360000000000001</v>
      </c>
    </row>
    <row r="26" spans="1:23" x14ac:dyDescent="0.25">
      <c r="A26" s="3" t="s">
        <v>255</v>
      </c>
      <c r="B26" s="3">
        <f>B24*B25</f>
        <v>1874.6607999999999</v>
      </c>
      <c r="C26" s="3"/>
      <c r="D26" s="3" t="s">
        <v>255</v>
      </c>
      <c r="E26" s="3">
        <f>(E24*E25)</f>
        <v>2203.818505894737</v>
      </c>
      <c r="G26" s="3" t="s">
        <v>255</v>
      </c>
      <c r="H26" s="3">
        <f>H24*H25</f>
        <v>1874.6607999999999</v>
      </c>
      <c r="I26" s="3"/>
      <c r="J26" s="3" t="s">
        <v>255</v>
      </c>
      <c r="K26" s="3">
        <f>(K24*K25)</f>
        <v>2203.818505894737</v>
      </c>
      <c r="M26" s="3" t="s">
        <v>255</v>
      </c>
      <c r="N26" s="3">
        <f>N24*N25</f>
        <v>1874.6607999999999</v>
      </c>
      <c r="O26" s="3"/>
      <c r="P26" s="3" t="s">
        <v>255</v>
      </c>
      <c r="Q26" s="3">
        <f>(Q24*Q25)</f>
        <v>2203.818505894737</v>
      </c>
      <c r="S26" s="3" t="s">
        <v>255</v>
      </c>
      <c r="T26" s="3">
        <f>T24*T25</f>
        <v>1874.6607999999999</v>
      </c>
      <c r="U26" s="3"/>
      <c r="V26" s="3" t="s">
        <v>255</v>
      </c>
      <c r="W26" s="3">
        <f>(W24*W25)</f>
        <v>2203.818505894737</v>
      </c>
    </row>
    <row r="27" spans="1:23" x14ac:dyDescent="0.25">
      <c r="A27" s="3" t="s">
        <v>256</v>
      </c>
      <c r="B27" s="3">
        <v>772.1</v>
      </c>
      <c r="C27" s="3"/>
      <c r="D27" s="3" t="s">
        <v>256</v>
      </c>
      <c r="E27" s="3">
        <v>1417.12</v>
      </c>
      <c r="G27" s="3" t="s">
        <v>256</v>
      </c>
      <c r="H27" s="3">
        <v>772.1</v>
      </c>
      <c r="I27" s="3"/>
      <c r="J27" s="3" t="s">
        <v>256</v>
      </c>
      <c r="K27" s="3">
        <v>1417.12</v>
      </c>
      <c r="M27" s="3" t="s">
        <v>256</v>
      </c>
      <c r="N27" s="3">
        <v>772.1</v>
      </c>
      <c r="O27" s="3"/>
      <c r="P27" s="3" t="s">
        <v>256</v>
      </c>
      <c r="Q27" s="3">
        <v>1417.12</v>
      </c>
      <c r="S27" s="3" t="s">
        <v>256</v>
      </c>
      <c r="T27" s="3">
        <v>772.1</v>
      </c>
      <c r="U27" s="3"/>
      <c r="V27" s="3" t="s">
        <v>256</v>
      </c>
      <c r="W27" s="3">
        <v>1417.12</v>
      </c>
    </row>
    <row r="28" spans="1:23" x14ac:dyDescent="0.25">
      <c r="A28" s="3" t="s">
        <v>257</v>
      </c>
      <c r="B28" s="3">
        <f>B26+B27</f>
        <v>2646.7608</v>
      </c>
      <c r="C28" s="3"/>
      <c r="D28" s="3" t="s">
        <v>257</v>
      </c>
      <c r="E28" s="3">
        <f>(E26+E27)</f>
        <v>3620.9385058947369</v>
      </c>
      <c r="G28" s="3" t="s">
        <v>257</v>
      </c>
      <c r="H28" s="3">
        <f>H26+H27</f>
        <v>2646.7608</v>
      </c>
      <c r="I28" s="3"/>
      <c r="J28" s="3" t="s">
        <v>257</v>
      </c>
      <c r="K28" s="3">
        <f>(K26+K27)</f>
        <v>3620.9385058947369</v>
      </c>
      <c r="M28" s="3" t="s">
        <v>257</v>
      </c>
      <c r="N28" s="3">
        <f>N26+N27</f>
        <v>2646.7608</v>
      </c>
      <c r="O28" s="3"/>
      <c r="P28" s="3" t="s">
        <v>257</v>
      </c>
      <c r="Q28" s="3">
        <f>(Q26+Q27)</f>
        <v>3620.9385058947369</v>
      </c>
      <c r="S28" s="3" t="s">
        <v>257</v>
      </c>
      <c r="T28" s="3">
        <f>T26+T27</f>
        <v>2646.7608</v>
      </c>
      <c r="U28" s="3"/>
      <c r="V28" s="3" t="s">
        <v>257</v>
      </c>
      <c r="W28" s="3">
        <f>(W26+W27)</f>
        <v>3620.9385058947369</v>
      </c>
    </row>
    <row r="29" spans="1:23" x14ac:dyDescent="0.25">
      <c r="A29" s="3" t="s">
        <v>258</v>
      </c>
      <c r="B29" s="3"/>
      <c r="C29" s="3"/>
      <c r="D29" s="3" t="s">
        <v>258</v>
      </c>
      <c r="E29" s="3"/>
      <c r="G29" s="3" t="s">
        <v>258</v>
      </c>
      <c r="H29" s="3"/>
      <c r="I29" s="3"/>
      <c r="J29" s="3" t="s">
        <v>258</v>
      </c>
      <c r="K29" s="3"/>
      <c r="M29" s="3" t="s">
        <v>258</v>
      </c>
      <c r="N29" s="3"/>
      <c r="O29" s="3"/>
      <c r="P29" s="3" t="s">
        <v>258</v>
      </c>
      <c r="Q29" s="3"/>
      <c r="S29" s="3" t="s">
        <v>258</v>
      </c>
      <c r="T29" s="3"/>
      <c r="U29" s="3"/>
      <c r="V29" s="3" t="s">
        <v>258</v>
      </c>
      <c r="W29" s="3"/>
    </row>
    <row r="30" spans="1:23" x14ac:dyDescent="0.25">
      <c r="A30" s="3" t="s">
        <v>259</v>
      </c>
      <c r="B30" s="3">
        <f>(B28-B29)</f>
        <v>2646.7608</v>
      </c>
      <c r="C30" s="3"/>
      <c r="D30" s="3" t="s">
        <v>259</v>
      </c>
      <c r="E30" s="3">
        <f>(E28-E29)</f>
        <v>3620.9385058947369</v>
      </c>
      <c r="G30" s="3" t="s">
        <v>259</v>
      </c>
      <c r="H30" s="3">
        <f>(H28-H29)</f>
        <v>2646.7608</v>
      </c>
      <c r="I30" s="3"/>
      <c r="J30" s="3" t="s">
        <v>259</v>
      </c>
      <c r="K30" s="3">
        <f>(K28-K29)</f>
        <v>3620.9385058947369</v>
      </c>
      <c r="M30" s="3" t="s">
        <v>259</v>
      </c>
      <c r="N30" s="3">
        <f>(N28-N29)</f>
        <v>2646.7608</v>
      </c>
      <c r="O30" s="3"/>
      <c r="P30" s="3" t="s">
        <v>259</v>
      </c>
      <c r="Q30" s="3">
        <f>(Q28-Q29)</f>
        <v>3620.9385058947369</v>
      </c>
      <c r="S30" s="3" t="s">
        <v>259</v>
      </c>
      <c r="T30" s="3">
        <f>(T28-T29)</f>
        <v>2646.7608</v>
      </c>
      <c r="U30" s="3"/>
      <c r="V30" s="3" t="s">
        <v>259</v>
      </c>
      <c r="W30" s="3">
        <f>(W28-W29)</f>
        <v>3620.9385058947369</v>
      </c>
    </row>
    <row r="31" spans="1:23" x14ac:dyDescent="0.25">
      <c r="A31" s="3"/>
      <c r="B31" s="3"/>
      <c r="C31" s="3"/>
      <c r="D31" s="3"/>
      <c r="E31" s="3"/>
      <c r="G31" s="3"/>
      <c r="H31" s="3"/>
      <c r="I31" s="3"/>
      <c r="J31" s="3"/>
      <c r="K31" s="3"/>
      <c r="M31" s="3"/>
      <c r="N31" s="3"/>
      <c r="O31" s="3"/>
      <c r="P31" s="3"/>
      <c r="Q31" s="3"/>
      <c r="S31" s="3"/>
      <c r="T31" s="3"/>
      <c r="U31" s="3"/>
      <c r="V31" s="3"/>
      <c r="W31" s="3"/>
    </row>
    <row r="32" spans="1:23" x14ac:dyDescent="0.25">
      <c r="A32" s="3"/>
      <c r="B32" s="3"/>
      <c r="C32" s="3"/>
      <c r="D32" s="3" t="s">
        <v>260</v>
      </c>
      <c r="E32" s="3">
        <f>E30-B30</f>
        <v>974.17770589473685</v>
      </c>
      <c r="G32" s="3"/>
      <c r="H32" s="3"/>
      <c r="I32" s="3"/>
      <c r="J32" s="3" t="s">
        <v>260</v>
      </c>
      <c r="K32" s="3">
        <f>K30-H30</f>
        <v>974.17770589473685</v>
      </c>
      <c r="M32" s="3"/>
      <c r="N32" s="3"/>
      <c r="O32" s="3"/>
      <c r="P32" s="3" t="s">
        <v>260</v>
      </c>
      <c r="Q32" s="3">
        <f>Q30-N30</f>
        <v>974.17770589473685</v>
      </c>
      <c r="S32" s="3"/>
      <c r="T32" s="3"/>
      <c r="U32" s="3"/>
      <c r="V32" s="3" t="s">
        <v>260</v>
      </c>
      <c r="W32" s="3">
        <f>W30-T30</f>
        <v>974.17770589473685</v>
      </c>
    </row>
    <row r="35" spans="1:23" ht="18.75" x14ac:dyDescent="0.3">
      <c r="A35" s="95" t="s">
        <v>391</v>
      </c>
      <c r="B35" s="96"/>
      <c r="C35" s="3"/>
      <c r="D35" s="96"/>
      <c r="E35" s="96"/>
      <c r="G35" s="95" t="s">
        <v>392</v>
      </c>
      <c r="H35" s="96"/>
      <c r="I35" s="3"/>
      <c r="J35" s="96"/>
      <c r="K35" s="96"/>
      <c r="M35" s="95" t="s">
        <v>393</v>
      </c>
      <c r="N35" s="96"/>
      <c r="O35" s="3"/>
      <c r="P35" s="96"/>
      <c r="Q35" s="96"/>
      <c r="S35" s="95" t="s">
        <v>394</v>
      </c>
      <c r="T35" s="96"/>
      <c r="U35" s="3"/>
      <c r="V35" s="96"/>
      <c r="W35" s="96"/>
    </row>
    <row r="36" spans="1:23" x14ac:dyDescent="0.25">
      <c r="A36" s="3"/>
      <c r="B36" s="3"/>
      <c r="C36" s="3"/>
      <c r="D36" s="3"/>
      <c r="E36" s="3"/>
      <c r="G36" s="3"/>
      <c r="H36" s="3"/>
      <c r="I36" s="3"/>
      <c r="J36" s="3"/>
      <c r="K36" s="3"/>
      <c r="M36" s="3"/>
      <c r="N36" s="3"/>
      <c r="O36" s="3"/>
      <c r="P36" s="3"/>
      <c r="Q36" s="3"/>
      <c r="S36" s="3"/>
      <c r="T36" s="3"/>
      <c r="U36" s="3"/>
      <c r="V36" s="3"/>
      <c r="W36" s="3"/>
    </row>
    <row r="37" spans="1:23" x14ac:dyDescent="0.25">
      <c r="A37" s="3"/>
      <c r="B37" s="3"/>
      <c r="C37" s="3"/>
      <c r="D37" s="3" t="s">
        <v>249</v>
      </c>
      <c r="E37" s="3">
        <f>B39</f>
        <v>10052.26</v>
      </c>
      <c r="G37" s="3"/>
      <c r="H37" s="3"/>
      <c r="I37" s="3"/>
      <c r="J37" s="3" t="s">
        <v>249</v>
      </c>
      <c r="K37" s="3">
        <f>H39</f>
        <v>10052.26</v>
      </c>
      <c r="M37" s="3"/>
      <c r="N37" s="3"/>
      <c r="O37" s="3"/>
      <c r="P37" s="3" t="s">
        <v>249</v>
      </c>
      <c r="Q37" s="3">
        <f>N39</f>
        <v>10052.26</v>
      </c>
      <c r="S37" s="3"/>
      <c r="T37" s="3"/>
      <c r="U37" s="3"/>
      <c r="V37" s="3" t="s">
        <v>249</v>
      </c>
      <c r="W37" s="3">
        <f>T39</f>
        <v>10052.26</v>
      </c>
    </row>
    <row r="38" spans="1:23" x14ac:dyDescent="0.25">
      <c r="A38" s="3"/>
      <c r="B38" s="3"/>
      <c r="C38" s="3"/>
      <c r="D38" s="3" t="s">
        <v>250</v>
      </c>
      <c r="E38" s="3">
        <v>12225.967710886807</v>
      </c>
      <c r="G38" s="3"/>
      <c r="H38" s="3"/>
      <c r="I38" s="3"/>
      <c r="J38" s="3" t="s">
        <v>250</v>
      </c>
      <c r="K38" s="3">
        <v>9907.8943222782982</v>
      </c>
      <c r="M38" s="3"/>
      <c r="N38" s="3"/>
      <c r="O38" s="3"/>
      <c r="P38" s="3" t="s">
        <v>250</v>
      </c>
      <c r="Q38" s="3">
        <v>6206.4545565969729</v>
      </c>
      <c r="S38" s="3"/>
      <c r="T38" s="3"/>
      <c r="U38" s="3"/>
      <c r="V38" s="3" t="s">
        <v>250</v>
      </c>
      <c r="W38" s="3">
        <v>6131.6779956741175</v>
      </c>
    </row>
    <row r="39" spans="1:23" x14ac:dyDescent="0.25">
      <c r="A39" s="3" t="s">
        <v>249</v>
      </c>
      <c r="B39" s="3">
        <f>5026.13*2</f>
        <v>10052.26</v>
      </c>
      <c r="C39" s="3"/>
      <c r="D39" s="3" t="s">
        <v>251</v>
      </c>
      <c r="E39" s="3">
        <f>E37+E38</f>
        <v>22278.227710886807</v>
      </c>
      <c r="G39" s="3" t="s">
        <v>249</v>
      </c>
      <c r="H39" s="3">
        <f>5026.13*2</f>
        <v>10052.26</v>
      </c>
      <c r="I39" s="3"/>
      <c r="J39" s="3" t="s">
        <v>251</v>
      </c>
      <c r="K39" s="3">
        <f>K37+K38</f>
        <v>19960.1543222783</v>
      </c>
      <c r="M39" s="3" t="s">
        <v>249</v>
      </c>
      <c r="N39" s="3">
        <f>5026.13*2</f>
        <v>10052.26</v>
      </c>
      <c r="O39" s="3"/>
      <c r="P39" s="3" t="s">
        <v>251</v>
      </c>
      <c r="Q39" s="3">
        <f>Q37+Q38</f>
        <v>16258.714556596973</v>
      </c>
      <c r="S39" s="3" t="s">
        <v>249</v>
      </c>
      <c r="T39" s="3">
        <f>5026.13*2</f>
        <v>10052.26</v>
      </c>
      <c r="U39" s="3"/>
      <c r="V39" s="3" t="s">
        <v>251</v>
      </c>
      <c r="W39" s="3">
        <f>W37+W38</f>
        <v>16183.937995674118</v>
      </c>
    </row>
    <row r="40" spans="1:23" x14ac:dyDescent="0.25">
      <c r="A40" s="3" t="s">
        <v>252</v>
      </c>
      <c r="B40" s="3">
        <v>9614.67</v>
      </c>
      <c r="C40" s="3"/>
      <c r="D40" s="3" t="s">
        <v>252</v>
      </c>
      <c r="E40" s="3">
        <v>13381.48</v>
      </c>
      <c r="G40" s="3" t="s">
        <v>252</v>
      </c>
      <c r="H40" s="3">
        <v>9614.67</v>
      </c>
      <c r="I40" s="3"/>
      <c r="J40" s="3" t="s">
        <v>252</v>
      </c>
      <c r="K40" s="3">
        <v>13381.48</v>
      </c>
      <c r="M40" s="3" t="s">
        <v>252</v>
      </c>
      <c r="N40" s="3">
        <v>9614.67</v>
      </c>
      <c r="O40" s="3"/>
      <c r="P40" s="3" t="s">
        <v>252</v>
      </c>
      <c r="Q40" s="3">
        <v>13381.48</v>
      </c>
      <c r="S40" s="3" t="s">
        <v>252</v>
      </c>
      <c r="T40" s="3">
        <v>9614.67</v>
      </c>
      <c r="U40" s="3"/>
      <c r="V40" s="3" t="s">
        <v>252</v>
      </c>
      <c r="W40" s="3">
        <v>13381.48</v>
      </c>
    </row>
    <row r="41" spans="1:23" x14ac:dyDescent="0.25">
      <c r="A41" s="3" t="s">
        <v>253</v>
      </c>
      <c r="B41" s="3">
        <v>11716.63</v>
      </c>
      <c r="C41" s="3"/>
      <c r="D41" s="3" t="s">
        <v>253</v>
      </c>
      <c r="E41" s="3">
        <f>(E39-E40)</f>
        <v>8896.7477108868079</v>
      </c>
      <c r="G41" s="3" t="s">
        <v>253</v>
      </c>
      <c r="H41" s="3">
        <v>11716.63</v>
      </c>
      <c r="I41" s="3"/>
      <c r="J41" s="3" t="s">
        <v>253</v>
      </c>
      <c r="K41" s="3">
        <f>(K39-K40)</f>
        <v>6578.6743222783007</v>
      </c>
      <c r="M41" s="3" t="s">
        <v>253</v>
      </c>
      <c r="N41" s="3">
        <v>11716.63</v>
      </c>
      <c r="O41" s="3"/>
      <c r="P41" s="3" t="s">
        <v>253</v>
      </c>
      <c r="Q41" s="3">
        <f>(Q39-Q40)</f>
        <v>2877.2345565969736</v>
      </c>
      <c r="S41" s="3" t="s">
        <v>253</v>
      </c>
      <c r="T41" s="3">
        <v>11716.63</v>
      </c>
      <c r="U41" s="3"/>
      <c r="V41" s="3" t="s">
        <v>253</v>
      </c>
      <c r="W41" s="3">
        <f>(W39-W40)</f>
        <v>2802.4579956741181</v>
      </c>
    </row>
    <row r="42" spans="1:23" x14ac:dyDescent="0.25">
      <c r="A42" s="3" t="s">
        <v>254</v>
      </c>
      <c r="B42" s="5">
        <v>0.16</v>
      </c>
      <c r="C42" s="3"/>
      <c r="D42" s="3" t="s">
        <v>254</v>
      </c>
      <c r="E42" s="5">
        <v>0.21360000000000001</v>
      </c>
      <c r="G42" s="3" t="s">
        <v>254</v>
      </c>
      <c r="H42" s="5">
        <v>0.16</v>
      </c>
      <c r="I42" s="3"/>
      <c r="J42" s="3" t="s">
        <v>254</v>
      </c>
      <c r="K42" s="5">
        <v>0.21360000000000001</v>
      </c>
      <c r="M42" s="3" t="s">
        <v>254</v>
      </c>
      <c r="N42" s="5">
        <v>0.16</v>
      </c>
      <c r="O42" s="3"/>
      <c r="P42" s="3" t="s">
        <v>254</v>
      </c>
      <c r="Q42" s="5">
        <v>0.21360000000000001</v>
      </c>
      <c r="S42" s="3" t="s">
        <v>254</v>
      </c>
      <c r="T42" s="5">
        <v>0.16</v>
      </c>
      <c r="U42" s="3"/>
      <c r="V42" s="3" t="s">
        <v>254</v>
      </c>
      <c r="W42" s="5">
        <v>0.21360000000000001</v>
      </c>
    </row>
    <row r="43" spans="1:23" x14ac:dyDescent="0.25">
      <c r="A43" s="3" t="s">
        <v>255</v>
      </c>
      <c r="B43" s="3">
        <f>B41*B42</f>
        <v>1874.6607999999999</v>
      </c>
      <c r="C43" s="3"/>
      <c r="D43" s="3" t="s">
        <v>255</v>
      </c>
      <c r="E43" s="3">
        <f>(E41*E42)</f>
        <v>1900.3453110454222</v>
      </c>
      <c r="G43" s="3" t="s">
        <v>255</v>
      </c>
      <c r="H43" s="3">
        <f>H41*H42</f>
        <v>1874.6607999999999</v>
      </c>
      <c r="I43" s="3"/>
      <c r="J43" s="3" t="s">
        <v>255</v>
      </c>
      <c r="K43" s="3">
        <f>(K41*K42)</f>
        <v>1405.204835238645</v>
      </c>
      <c r="M43" s="3" t="s">
        <v>255</v>
      </c>
      <c r="N43" s="3">
        <f>N41*N42</f>
        <v>1874.6607999999999</v>
      </c>
      <c r="O43" s="3"/>
      <c r="P43" s="3" t="s">
        <v>255</v>
      </c>
      <c r="Q43" s="3">
        <f>(Q41*Q42)</f>
        <v>614.57730128911362</v>
      </c>
      <c r="S43" s="3" t="s">
        <v>255</v>
      </c>
      <c r="T43" s="3">
        <f>T41*T42</f>
        <v>1874.6607999999999</v>
      </c>
      <c r="U43" s="3"/>
      <c r="V43" s="3" t="s">
        <v>255</v>
      </c>
      <c r="W43" s="3">
        <f>(W41*W42)</f>
        <v>598.60502787599171</v>
      </c>
    </row>
    <row r="44" spans="1:23" x14ac:dyDescent="0.25">
      <c r="A44" s="3" t="s">
        <v>256</v>
      </c>
      <c r="B44" s="3">
        <v>772.1</v>
      </c>
      <c r="C44" s="3"/>
      <c r="D44" s="3" t="s">
        <v>256</v>
      </c>
      <c r="E44" s="3">
        <v>1417.12</v>
      </c>
      <c r="G44" s="3" t="s">
        <v>256</v>
      </c>
      <c r="H44" s="3">
        <v>772.1</v>
      </c>
      <c r="I44" s="3"/>
      <c r="J44" s="3" t="s">
        <v>256</v>
      </c>
      <c r="K44" s="3">
        <v>1417.12</v>
      </c>
      <c r="M44" s="3" t="s">
        <v>256</v>
      </c>
      <c r="N44" s="3">
        <v>772.1</v>
      </c>
      <c r="O44" s="3"/>
      <c r="P44" s="3" t="s">
        <v>256</v>
      </c>
      <c r="Q44" s="3">
        <v>1417.12</v>
      </c>
      <c r="S44" s="3" t="s">
        <v>256</v>
      </c>
      <c r="T44" s="3">
        <v>772.1</v>
      </c>
      <c r="U44" s="3"/>
      <c r="V44" s="3" t="s">
        <v>256</v>
      </c>
      <c r="W44" s="3">
        <v>1417.12</v>
      </c>
    </row>
    <row r="45" spans="1:23" x14ac:dyDescent="0.25">
      <c r="A45" s="3" t="s">
        <v>257</v>
      </c>
      <c r="B45" s="3">
        <f>B43+B44</f>
        <v>2646.7608</v>
      </c>
      <c r="C45" s="3"/>
      <c r="D45" s="3" t="s">
        <v>257</v>
      </c>
      <c r="E45" s="3">
        <f>(E43+E44)</f>
        <v>3317.4653110454219</v>
      </c>
      <c r="G45" s="3" t="s">
        <v>257</v>
      </c>
      <c r="H45" s="3">
        <f>H43+H44</f>
        <v>2646.7608</v>
      </c>
      <c r="I45" s="3"/>
      <c r="J45" s="3" t="s">
        <v>257</v>
      </c>
      <c r="K45" s="3">
        <f>(K43+K44)</f>
        <v>2822.3248352386449</v>
      </c>
      <c r="M45" s="3" t="s">
        <v>257</v>
      </c>
      <c r="N45" s="3">
        <f>N43+N44</f>
        <v>2646.7608</v>
      </c>
      <c r="O45" s="3"/>
      <c r="P45" s="3" t="s">
        <v>257</v>
      </c>
      <c r="Q45" s="3">
        <f>(Q43+Q44)</f>
        <v>2031.6973012891135</v>
      </c>
      <c r="S45" s="3" t="s">
        <v>257</v>
      </c>
      <c r="T45" s="3">
        <f>T43+T44</f>
        <v>2646.7608</v>
      </c>
      <c r="U45" s="3"/>
      <c r="V45" s="3" t="s">
        <v>257</v>
      </c>
      <c r="W45" s="3">
        <f>(W43+W44)</f>
        <v>2015.7250278759916</v>
      </c>
    </row>
    <row r="46" spans="1:23" x14ac:dyDescent="0.25">
      <c r="A46" s="3" t="s">
        <v>258</v>
      </c>
      <c r="B46" s="3"/>
      <c r="C46" s="3"/>
      <c r="D46" s="3" t="s">
        <v>258</v>
      </c>
      <c r="E46" s="3"/>
      <c r="G46" s="3" t="s">
        <v>258</v>
      </c>
      <c r="H46" s="3"/>
      <c r="I46" s="3"/>
      <c r="J46" s="3" t="s">
        <v>258</v>
      </c>
      <c r="K46" s="3"/>
      <c r="M46" s="3" t="s">
        <v>258</v>
      </c>
      <c r="N46" s="3"/>
      <c r="O46" s="3"/>
      <c r="P46" s="3" t="s">
        <v>258</v>
      </c>
      <c r="Q46" s="3"/>
      <c r="S46" s="3" t="s">
        <v>258</v>
      </c>
      <c r="T46" s="3"/>
      <c r="U46" s="3"/>
      <c r="V46" s="3" t="s">
        <v>258</v>
      </c>
      <c r="W46" s="3"/>
    </row>
    <row r="47" spans="1:23" x14ac:dyDescent="0.25">
      <c r="A47" s="3" t="s">
        <v>259</v>
      </c>
      <c r="B47" s="3">
        <f>(B45-B46)</f>
        <v>2646.7608</v>
      </c>
      <c r="C47" s="3"/>
      <c r="D47" s="3" t="s">
        <v>259</v>
      </c>
      <c r="E47" s="3">
        <f>(E45-E46)</f>
        <v>3317.4653110454219</v>
      </c>
      <c r="G47" s="3" t="s">
        <v>259</v>
      </c>
      <c r="H47" s="3">
        <f>(H45-H46)</f>
        <v>2646.7608</v>
      </c>
      <c r="I47" s="3"/>
      <c r="J47" s="3" t="s">
        <v>259</v>
      </c>
      <c r="K47" s="3">
        <f>(K45-K46)</f>
        <v>2822.3248352386449</v>
      </c>
      <c r="M47" s="3" t="s">
        <v>259</v>
      </c>
      <c r="N47" s="3">
        <f>(N45-N46)</f>
        <v>2646.7608</v>
      </c>
      <c r="O47" s="3"/>
      <c r="P47" s="3" t="s">
        <v>259</v>
      </c>
      <c r="Q47" s="3">
        <f>(Q45-Q46)</f>
        <v>2031.6973012891135</v>
      </c>
      <c r="S47" s="3" t="s">
        <v>259</v>
      </c>
      <c r="T47" s="3">
        <f>(T45-T46)</f>
        <v>2646.7608</v>
      </c>
      <c r="U47" s="3"/>
      <c r="V47" s="3" t="s">
        <v>259</v>
      </c>
      <c r="W47" s="3">
        <f>(W45-W46)</f>
        <v>2015.7250278759916</v>
      </c>
    </row>
    <row r="48" spans="1:23" x14ac:dyDescent="0.25">
      <c r="A48" s="3"/>
      <c r="B48" s="3"/>
      <c r="C48" s="3"/>
      <c r="D48" s="3"/>
      <c r="E48" s="3"/>
      <c r="G48" s="3"/>
      <c r="H48" s="3"/>
      <c r="I48" s="3"/>
      <c r="J48" s="3"/>
      <c r="K48" s="3"/>
      <c r="M48" s="3"/>
      <c r="N48" s="3"/>
      <c r="O48" s="3"/>
      <c r="P48" s="3"/>
      <c r="Q48" s="3"/>
      <c r="S48" s="3"/>
      <c r="T48" s="3"/>
      <c r="U48" s="3"/>
      <c r="V48" s="3"/>
      <c r="W48" s="3"/>
    </row>
    <row r="49" spans="1:23" x14ac:dyDescent="0.25">
      <c r="A49" s="3"/>
      <c r="B49" s="3"/>
      <c r="C49" s="3"/>
      <c r="D49" s="3" t="s">
        <v>260</v>
      </c>
      <c r="E49" s="3">
        <f>E47-B47</f>
        <v>670.7045110454219</v>
      </c>
      <c r="G49" s="3"/>
      <c r="H49" s="3"/>
      <c r="I49" s="3"/>
      <c r="J49" s="3" t="s">
        <v>260</v>
      </c>
      <c r="K49" s="3">
        <f>K47-H47</f>
        <v>175.56403523864492</v>
      </c>
      <c r="M49" s="3"/>
      <c r="N49" s="3"/>
      <c r="O49" s="3"/>
      <c r="P49" s="3" t="s">
        <v>260</v>
      </c>
      <c r="Q49" s="3">
        <f>Q47-N47</f>
        <v>-615.06349871088651</v>
      </c>
      <c r="S49" s="3"/>
      <c r="T49" s="3"/>
      <c r="U49" s="3"/>
      <c r="V49" s="3" t="s">
        <v>260</v>
      </c>
      <c r="W49" s="3">
        <f>W47-T47</f>
        <v>-631.03577212400842</v>
      </c>
    </row>
    <row r="52" spans="1:23" ht="18.75" x14ac:dyDescent="0.3">
      <c r="A52" s="95" t="s">
        <v>395</v>
      </c>
      <c r="B52" s="96"/>
      <c r="C52" s="3"/>
      <c r="D52" s="96"/>
      <c r="E52" s="96"/>
      <c r="G52" s="95" t="s">
        <v>396</v>
      </c>
      <c r="H52" s="96"/>
      <c r="I52" s="3"/>
      <c r="J52" s="96"/>
      <c r="K52" s="96"/>
      <c r="M52" s="95" t="s">
        <v>397</v>
      </c>
      <c r="N52" s="96"/>
      <c r="O52" s="3"/>
      <c r="P52" s="96"/>
      <c r="Q52" s="96"/>
      <c r="S52" s="95" t="s">
        <v>398</v>
      </c>
      <c r="T52" s="96"/>
      <c r="U52" s="3"/>
      <c r="V52" s="96"/>
      <c r="W52" s="96"/>
    </row>
    <row r="53" spans="1:23" x14ac:dyDescent="0.25">
      <c r="A53" s="3"/>
      <c r="B53" s="3"/>
      <c r="C53" s="3"/>
      <c r="D53" s="3"/>
      <c r="E53" s="3"/>
      <c r="G53" s="3"/>
      <c r="H53" s="3"/>
      <c r="I53" s="3"/>
      <c r="J53" s="3"/>
      <c r="K53" s="3"/>
      <c r="M53" s="3"/>
      <c r="N53" s="3"/>
      <c r="O53" s="3"/>
      <c r="P53" s="3"/>
      <c r="Q53" s="3"/>
      <c r="S53" s="3"/>
      <c r="T53" s="3"/>
      <c r="U53" s="3"/>
      <c r="V53" s="3"/>
      <c r="W53" s="3"/>
    </row>
    <row r="54" spans="1:23" x14ac:dyDescent="0.25">
      <c r="A54" s="3"/>
      <c r="B54" s="3"/>
      <c r="C54" s="3"/>
      <c r="D54" s="3" t="s">
        <v>249</v>
      </c>
      <c r="E54" s="3">
        <f>B56</f>
        <v>10052.26</v>
      </c>
      <c r="G54" s="3"/>
      <c r="H54" s="3"/>
      <c r="I54" s="3"/>
      <c r="J54" s="3" t="s">
        <v>249</v>
      </c>
      <c r="K54" s="3">
        <f>H56</f>
        <v>5186.1000000000004</v>
      </c>
      <c r="M54" s="3"/>
      <c r="N54" s="3"/>
      <c r="O54" s="3"/>
      <c r="P54" s="3" t="s">
        <v>249</v>
      </c>
      <c r="Q54" s="3">
        <f>N56</f>
        <v>14722.7</v>
      </c>
      <c r="S54" s="3"/>
      <c r="T54" s="3"/>
      <c r="U54" s="3"/>
      <c r="V54" s="3" t="s">
        <v>249</v>
      </c>
      <c r="W54" s="3">
        <f>T56</f>
        <v>10528.46</v>
      </c>
    </row>
    <row r="55" spans="1:23" x14ac:dyDescent="0.25">
      <c r="A55" s="3"/>
      <c r="B55" s="3"/>
      <c r="C55" s="3"/>
      <c r="D55" s="3" t="s">
        <v>250</v>
      </c>
      <c r="E55" s="3">
        <v>4000.5460093727479</v>
      </c>
      <c r="G55" s="3"/>
      <c r="H55" s="3"/>
      <c r="I55" s="3"/>
      <c r="J55" s="3" t="s">
        <v>250</v>
      </c>
      <c r="K55" s="3">
        <v>5643.1697368421064</v>
      </c>
      <c r="M55" s="3"/>
      <c r="N55" s="3"/>
      <c r="O55" s="3"/>
      <c r="P55" s="3" t="s">
        <v>250</v>
      </c>
      <c r="Q55" s="3">
        <v>19238.400000000001</v>
      </c>
      <c r="S55" s="3"/>
      <c r="T55" s="3"/>
      <c r="U55" s="3"/>
      <c r="V55" s="3" t="s">
        <v>250</v>
      </c>
      <c r="W55" s="3">
        <v>14429.946052631576</v>
      </c>
    </row>
    <row r="56" spans="1:23" x14ac:dyDescent="0.25">
      <c r="A56" s="3" t="s">
        <v>249</v>
      </c>
      <c r="B56" s="3">
        <f>5026.13*2</f>
        <v>10052.26</v>
      </c>
      <c r="C56" s="3"/>
      <c r="D56" s="3" t="s">
        <v>251</v>
      </c>
      <c r="E56" s="3">
        <f>E54+E55</f>
        <v>14052.806009372747</v>
      </c>
      <c r="G56" s="3" t="s">
        <v>249</v>
      </c>
      <c r="H56" s="3">
        <f>2593.05*2</f>
        <v>5186.1000000000004</v>
      </c>
      <c r="I56" s="3"/>
      <c r="J56" s="3" t="s">
        <v>251</v>
      </c>
      <c r="K56" s="3">
        <f>K54+K55</f>
        <v>10829.269736842107</v>
      </c>
      <c r="M56" s="3" t="s">
        <v>249</v>
      </c>
      <c r="N56" s="3">
        <f>7361.35*2</f>
        <v>14722.7</v>
      </c>
      <c r="O56" s="3"/>
      <c r="P56" s="3" t="s">
        <v>251</v>
      </c>
      <c r="Q56" s="3">
        <f>Q54+Q55</f>
        <v>33961.100000000006</v>
      </c>
      <c r="S56" s="3" t="s">
        <v>249</v>
      </c>
      <c r="T56" s="3">
        <f>5264.23*2</f>
        <v>10528.46</v>
      </c>
      <c r="U56" s="3"/>
      <c r="V56" s="3" t="s">
        <v>251</v>
      </c>
      <c r="W56" s="3">
        <f>W54+W55</f>
        <v>24958.406052631573</v>
      </c>
    </row>
    <row r="57" spans="1:23" x14ac:dyDescent="0.25">
      <c r="A57" s="3" t="s">
        <v>252</v>
      </c>
      <c r="B57" s="3">
        <v>9614.67</v>
      </c>
      <c r="C57" s="3"/>
      <c r="D57" s="3" t="s">
        <v>252</v>
      </c>
      <c r="E57" s="3">
        <v>13381.48</v>
      </c>
      <c r="G57" s="3" t="s">
        <v>252</v>
      </c>
      <c r="H57" s="3">
        <v>644.59</v>
      </c>
      <c r="I57" s="3"/>
      <c r="J57" s="3" t="s">
        <v>252</v>
      </c>
      <c r="K57" s="3">
        <v>9614.67</v>
      </c>
      <c r="M57" s="3" t="s">
        <v>252</v>
      </c>
      <c r="N57" s="3">
        <v>13381.48</v>
      </c>
      <c r="O57" s="3"/>
      <c r="P57" s="3" t="s">
        <v>252</v>
      </c>
      <c r="Q57" s="3">
        <v>26988.51</v>
      </c>
      <c r="S57" s="3" t="s">
        <v>252</v>
      </c>
      <c r="T57" s="3">
        <v>9614.67</v>
      </c>
      <c r="U57" s="3"/>
      <c r="V57" s="3" t="s">
        <v>252</v>
      </c>
      <c r="W57" s="3">
        <v>13381.48</v>
      </c>
    </row>
    <row r="58" spans="1:23" x14ac:dyDescent="0.25">
      <c r="A58" s="3" t="s">
        <v>253</v>
      </c>
      <c r="B58" s="3">
        <v>11716.63</v>
      </c>
      <c r="C58" s="3"/>
      <c r="D58" s="3" t="s">
        <v>253</v>
      </c>
      <c r="E58" s="3">
        <f>(E56-E57)</f>
        <v>671.32600937274765</v>
      </c>
      <c r="G58" s="3" t="s">
        <v>253</v>
      </c>
      <c r="H58" s="3">
        <f>H56-H57</f>
        <v>4541.51</v>
      </c>
      <c r="I58" s="3"/>
      <c r="J58" s="3" t="s">
        <v>253</v>
      </c>
      <c r="K58" s="3">
        <f>(K56-K57)</f>
        <v>1214.5997368421067</v>
      </c>
      <c r="M58" s="3" t="s">
        <v>253</v>
      </c>
      <c r="N58" s="3">
        <f>N56-N57</f>
        <v>1341.2200000000012</v>
      </c>
      <c r="O58" s="3"/>
      <c r="P58" s="3" t="s">
        <v>253</v>
      </c>
      <c r="Q58" s="3">
        <f>(Q56-Q57)</f>
        <v>6972.5900000000074</v>
      </c>
      <c r="S58" s="3" t="s">
        <v>253</v>
      </c>
      <c r="T58" s="3">
        <f>T56-T57</f>
        <v>913.78999999999905</v>
      </c>
      <c r="U58" s="3"/>
      <c r="V58" s="3" t="s">
        <v>253</v>
      </c>
      <c r="W58" s="3">
        <f>(W56-W57)</f>
        <v>11576.926052631574</v>
      </c>
    </row>
    <row r="59" spans="1:23" x14ac:dyDescent="0.25">
      <c r="A59" s="3" t="s">
        <v>254</v>
      </c>
      <c r="B59" s="5">
        <v>0.16</v>
      </c>
      <c r="C59" s="3"/>
      <c r="D59" s="3" t="s">
        <v>254</v>
      </c>
      <c r="E59" s="5">
        <v>0.21360000000000001</v>
      </c>
      <c r="G59" s="3" t="s">
        <v>254</v>
      </c>
      <c r="H59" s="5">
        <v>6.4000000000000001E-2</v>
      </c>
      <c r="I59" s="3"/>
      <c r="J59" s="3" t="s">
        <v>254</v>
      </c>
      <c r="K59" s="5">
        <v>0.16</v>
      </c>
      <c r="M59" s="3" t="s">
        <v>254</v>
      </c>
      <c r="N59" s="5">
        <v>0.21360000000000001</v>
      </c>
      <c r="O59" s="3"/>
      <c r="P59" s="3" t="s">
        <v>254</v>
      </c>
      <c r="Q59" s="5">
        <v>0.23519999999999999</v>
      </c>
      <c r="S59" s="3" t="s">
        <v>254</v>
      </c>
      <c r="T59" s="5">
        <v>0.16</v>
      </c>
      <c r="U59" s="3"/>
      <c r="V59" s="3" t="s">
        <v>254</v>
      </c>
      <c r="W59" s="5">
        <v>0.21360000000000001</v>
      </c>
    </row>
    <row r="60" spans="1:23" x14ac:dyDescent="0.25">
      <c r="A60" s="3" t="s">
        <v>255</v>
      </c>
      <c r="B60" s="3">
        <f>B58*B59</f>
        <v>1874.6607999999999</v>
      </c>
      <c r="C60" s="3"/>
      <c r="D60" s="3" t="s">
        <v>255</v>
      </c>
      <c r="E60" s="3">
        <f>(E58*E59)</f>
        <v>143.39523560201891</v>
      </c>
      <c r="G60" s="3" t="s">
        <v>255</v>
      </c>
      <c r="H60" s="3">
        <f>H58*H59</f>
        <v>290.65664000000004</v>
      </c>
      <c r="I60" s="3"/>
      <c r="J60" s="3" t="s">
        <v>255</v>
      </c>
      <c r="K60" s="3">
        <f>(K58*K59)</f>
        <v>194.33595789473708</v>
      </c>
      <c r="M60" s="3" t="s">
        <v>255</v>
      </c>
      <c r="N60" s="3">
        <f>N58*N59</f>
        <v>286.48459200000025</v>
      </c>
      <c r="O60" s="3"/>
      <c r="P60" s="3" t="s">
        <v>255</v>
      </c>
      <c r="Q60" s="3">
        <f>(Q58*Q59)</f>
        <v>1639.9531680000016</v>
      </c>
      <c r="S60" s="3" t="s">
        <v>255</v>
      </c>
      <c r="T60" s="3">
        <f>T58*T59</f>
        <v>146.20639999999986</v>
      </c>
      <c r="U60" s="3"/>
      <c r="V60" s="3" t="s">
        <v>255</v>
      </c>
      <c r="W60" s="3">
        <f>(W58*W59)</f>
        <v>2472.8314048421043</v>
      </c>
    </row>
    <row r="61" spans="1:23" x14ac:dyDescent="0.25">
      <c r="A61" s="3" t="s">
        <v>256</v>
      </c>
      <c r="B61" s="3">
        <v>772.1</v>
      </c>
      <c r="C61" s="3"/>
      <c r="D61" s="3" t="s">
        <v>256</v>
      </c>
      <c r="E61" s="3">
        <v>1417.12</v>
      </c>
      <c r="G61" s="3" t="s">
        <v>256</v>
      </c>
      <c r="H61" s="3">
        <v>12.38</v>
      </c>
      <c r="I61" s="3"/>
      <c r="J61" s="3" t="s">
        <v>256</v>
      </c>
      <c r="K61" s="3">
        <v>772.1</v>
      </c>
      <c r="M61" s="3" t="s">
        <v>256</v>
      </c>
      <c r="N61" s="3">
        <v>1417.12</v>
      </c>
      <c r="O61" s="3"/>
      <c r="P61" s="3" t="s">
        <v>256</v>
      </c>
      <c r="Q61" s="3">
        <v>4323.58</v>
      </c>
      <c r="S61" s="3" t="s">
        <v>256</v>
      </c>
      <c r="T61" s="3">
        <v>772.1</v>
      </c>
      <c r="U61" s="3"/>
      <c r="V61" s="3" t="s">
        <v>256</v>
      </c>
      <c r="W61" s="3">
        <v>1417.12</v>
      </c>
    </row>
    <row r="62" spans="1:23" x14ac:dyDescent="0.25">
      <c r="A62" s="3" t="s">
        <v>257</v>
      </c>
      <c r="B62" s="3">
        <f>B60+B61</f>
        <v>2646.7608</v>
      </c>
      <c r="C62" s="3"/>
      <c r="D62" s="3" t="s">
        <v>257</v>
      </c>
      <c r="E62" s="3">
        <f>(E60+E61)</f>
        <v>1560.5152356020187</v>
      </c>
      <c r="G62" s="3" t="s">
        <v>257</v>
      </c>
      <c r="H62" s="3">
        <f>H60+H61</f>
        <v>303.03664000000003</v>
      </c>
      <c r="I62" s="3"/>
      <c r="J62" s="3" t="s">
        <v>257</v>
      </c>
      <c r="K62" s="3">
        <f>(K60+K61)</f>
        <v>966.43595789473716</v>
      </c>
      <c r="M62" s="3" t="s">
        <v>257</v>
      </c>
      <c r="N62" s="3">
        <f>N60+N61</f>
        <v>1703.6045920000001</v>
      </c>
      <c r="O62" s="3"/>
      <c r="P62" s="3" t="s">
        <v>257</v>
      </c>
      <c r="Q62" s="3">
        <f>(Q60+Q61)</f>
        <v>5963.5331680000018</v>
      </c>
      <c r="S62" s="3" t="s">
        <v>257</v>
      </c>
      <c r="T62" s="3">
        <f>T60+T61</f>
        <v>918.30639999999994</v>
      </c>
      <c r="U62" s="3"/>
      <c r="V62" s="3" t="s">
        <v>257</v>
      </c>
      <c r="W62" s="3">
        <f>(W60+W61)</f>
        <v>3889.9514048421042</v>
      </c>
    </row>
    <row r="63" spans="1:23" x14ac:dyDescent="0.25">
      <c r="A63" s="3" t="s">
        <v>258</v>
      </c>
      <c r="B63" s="3"/>
      <c r="C63" s="3"/>
      <c r="D63" s="3" t="s">
        <v>258</v>
      </c>
      <c r="E63" s="3"/>
      <c r="G63" s="3" t="s">
        <v>258</v>
      </c>
      <c r="H63" s="3"/>
      <c r="I63" s="3"/>
      <c r="J63" s="3" t="s">
        <v>258</v>
      </c>
      <c r="K63" s="3"/>
      <c r="M63" s="3" t="s">
        <v>258</v>
      </c>
      <c r="N63" s="3"/>
      <c r="O63" s="3"/>
      <c r="P63" s="3" t="s">
        <v>258</v>
      </c>
      <c r="Q63" s="3"/>
      <c r="S63" s="3" t="s">
        <v>258</v>
      </c>
      <c r="T63" s="3"/>
      <c r="U63" s="3"/>
      <c r="V63" s="3" t="s">
        <v>258</v>
      </c>
      <c r="W63" s="3"/>
    </row>
    <row r="64" spans="1:23" x14ac:dyDescent="0.25">
      <c r="A64" s="3" t="s">
        <v>259</v>
      </c>
      <c r="B64" s="3">
        <f>(B62-B63)</f>
        <v>2646.7608</v>
      </c>
      <c r="C64" s="3"/>
      <c r="D64" s="3" t="s">
        <v>259</v>
      </c>
      <c r="E64" s="3">
        <f>(E62-E63)</f>
        <v>1560.5152356020187</v>
      </c>
      <c r="G64" s="3" t="s">
        <v>259</v>
      </c>
      <c r="H64" s="3">
        <f>(H62-H63)</f>
        <v>303.03664000000003</v>
      </c>
      <c r="I64" s="3"/>
      <c r="J64" s="3" t="s">
        <v>259</v>
      </c>
      <c r="K64" s="3">
        <f>(K62-K63)</f>
        <v>966.43595789473716</v>
      </c>
      <c r="M64" s="3" t="s">
        <v>259</v>
      </c>
      <c r="N64" s="3">
        <f>(N62-N63)</f>
        <v>1703.6045920000001</v>
      </c>
      <c r="O64" s="3"/>
      <c r="P64" s="3" t="s">
        <v>259</v>
      </c>
      <c r="Q64" s="3">
        <f>(Q62-Q63)</f>
        <v>5963.5331680000018</v>
      </c>
      <c r="S64" s="3" t="s">
        <v>259</v>
      </c>
      <c r="T64" s="3">
        <f>(T62-T63)</f>
        <v>918.30639999999994</v>
      </c>
      <c r="U64" s="3"/>
      <c r="V64" s="3" t="s">
        <v>259</v>
      </c>
      <c r="W64" s="3">
        <f>(W62-W63)</f>
        <v>3889.9514048421042</v>
      </c>
    </row>
    <row r="65" spans="1:23" x14ac:dyDescent="0.25">
      <c r="A65" s="3"/>
      <c r="B65" s="3"/>
      <c r="C65" s="3"/>
      <c r="D65" s="3"/>
      <c r="E65" s="3"/>
      <c r="G65" s="3"/>
      <c r="H65" s="3"/>
      <c r="I65" s="3"/>
      <c r="J65" s="3"/>
      <c r="K65" s="3"/>
      <c r="M65" s="3"/>
      <c r="N65" s="3"/>
      <c r="O65" s="3"/>
      <c r="P65" s="3"/>
      <c r="Q65" s="3"/>
      <c r="S65" s="3"/>
      <c r="T65" s="3"/>
      <c r="U65" s="3"/>
      <c r="V65" s="3"/>
      <c r="W65" s="3"/>
    </row>
    <row r="66" spans="1:23" x14ac:dyDescent="0.25">
      <c r="A66" s="3"/>
      <c r="B66" s="3"/>
      <c r="C66" s="3"/>
      <c r="D66" s="3" t="s">
        <v>260</v>
      </c>
      <c r="E66" s="3">
        <f>E64-B64</f>
        <v>-1086.2455643979813</v>
      </c>
      <c r="G66" s="3"/>
      <c r="H66" s="3"/>
      <c r="I66" s="3"/>
      <c r="J66" s="3" t="s">
        <v>260</v>
      </c>
      <c r="K66" s="3">
        <f>K64-H64</f>
        <v>663.39931789473712</v>
      </c>
      <c r="M66" s="3"/>
      <c r="N66" s="3"/>
      <c r="O66" s="3"/>
      <c r="P66" s="3" t="s">
        <v>260</v>
      </c>
      <c r="Q66" s="3">
        <f>Q64-N64</f>
        <v>4259.9285760000021</v>
      </c>
      <c r="S66" s="3"/>
      <c r="T66" s="3"/>
      <c r="U66" s="3"/>
      <c r="V66" s="3" t="s">
        <v>260</v>
      </c>
      <c r="W66" s="3">
        <f>W64-T64</f>
        <v>2971.6450048421043</v>
      </c>
    </row>
    <row r="69" spans="1:23" ht="18.75" x14ac:dyDescent="0.3">
      <c r="A69" s="95" t="s">
        <v>395</v>
      </c>
      <c r="B69" s="96"/>
      <c r="C69" s="3"/>
      <c r="D69" s="96"/>
      <c r="E69" s="96"/>
      <c r="G69" s="95" t="s">
        <v>400</v>
      </c>
      <c r="H69" s="96"/>
      <c r="I69" s="3"/>
      <c r="J69" s="96"/>
      <c r="K69" s="96"/>
      <c r="M69" s="95" t="s">
        <v>401</v>
      </c>
      <c r="N69" s="96"/>
      <c r="O69" s="3"/>
      <c r="P69" s="96"/>
      <c r="Q69" s="96"/>
      <c r="S69" s="95" t="s">
        <v>422</v>
      </c>
      <c r="T69" s="96"/>
      <c r="U69" s="3"/>
      <c r="V69" s="96"/>
      <c r="W69" s="96"/>
    </row>
    <row r="70" spans="1:23" x14ac:dyDescent="0.25">
      <c r="A70" s="3"/>
      <c r="B70" s="3"/>
      <c r="C70" s="3"/>
      <c r="D70" s="3"/>
      <c r="E70" s="3"/>
      <c r="G70" s="3"/>
      <c r="H70" s="3"/>
      <c r="I70" s="3"/>
      <c r="J70" s="3"/>
      <c r="K70" s="3"/>
      <c r="M70" s="3"/>
      <c r="N70" s="3"/>
      <c r="O70" s="3"/>
      <c r="P70" s="3"/>
      <c r="Q70" s="3"/>
      <c r="S70" s="3"/>
      <c r="T70" s="3"/>
      <c r="U70" s="3"/>
      <c r="V70" s="3"/>
      <c r="W70" s="3"/>
    </row>
    <row r="71" spans="1:23" x14ac:dyDescent="0.25">
      <c r="A71" s="3"/>
      <c r="B71" s="3"/>
      <c r="C71" s="3"/>
      <c r="D71" s="3" t="s">
        <v>249</v>
      </c>
      <c r="E71" s="3">
        <f>B73</f>
        <v>10052.26</v>
      </c>
      <c r="G71" s="3"/>
      <c r="H71" s="3"/>
      <c r="I71" s="3"/>
      <c r="J71" s="3" t="s">
        <v>249</v>
      </c>
      <c r="K71" s="3">
        <f>H73</f>
        <v>10052.26</v>
      </c>
      <c r="M71" s="3"/>
      <c r="N71" s="3"/>
      <c r="O71" s="3"/>
      <c r="P71" s="3" t="s">
        <v>249</v>
      </c>
      <c r="Q71" s="3">
        <f>N73</f>
        <v>10052.26</v>
      </c>
      <c r="S71" s="3"/>
      <c r="T71" s="3"/>
      <c r="U71" s="3"/>
      <c r="V71" s="3" t="s">
        <v>249</v>
      </c>
      <c r="W71" s="3">
        <f>T73</f>
        <v>10052.26</v>
      </c>
    </row>
    <row r="72" spans="1:23" x14ac:dyDescent="0.25">
      <c r="A72" s="3"/>
      <c r="B72" s="3"/>
      <c r="C72" s="3"/>
      <c r="D72" s="3" t="s">
        <v>250</v>
      </c>
      <c r="E72" s="3">
        <v>2281.2348558038939</v>
      </c>
      <c r="G72" s="3"/>
      <c r="H72" s="3"/>
      <c r="I72" s="3"/>
      <c r="J72" s="3" t="s">
        <v>250</v>
      </c>
      <c r="K72" s="3">
        <v>10020.059163662583</v>
      </c>
      <c r="M72" s="3"/>
      <c r="N72" s="3"/>
      <c r="O72" s="3"/>
      <c r="P72" s="3" t="s">
        <v>250</v>
      </c>
      <c r="Q72" s="3">
        <v>8599.3045061283337</v>
      </c>
      <c r="S72" s="3"/>
      <c r="T72" s="3"/>
      <c r="U72" s="3"/>
      <c r="V72" s="3" t="s">
        <v>250</v>
      </c>
      <c r="W72" s="3">
        <v>5570.8537887527036</v>
      </c>
    </row>
    <row r="73" spans="1:23" x14ac:dyDescent="0.25">
      <c r="A73" s="3" t="s">
        <v>249</v>
      </c>
      <c r="B73" s="3">
        <f>5026.13*2</f>
        <v>10052.26</v>
      </c>
      <c r="C73" s="3"/>
      <c r="D73" s="3" t="s">
        <v>251</v>
      </c>
      <c r="E73" s="3">
        <f>E71+E72</f>
        <v>12333.494855803894</v>
      </c>
      <c r="G73" s="3" t="s">
        <v>249</v>
      </c>
      <c r="H73" s="3">
        <f>5026.13*2</f>
        <v>10052.26</v>
      </c>
      <c r="I73" s="3"/>
      <c r="J73" s="3" t="s">
        <v>251</v>
      </c>
      <c r="K73" s="3">
        <f>K71+K72</f>
        <v>20072.319163662585</v>
      </c>
      <c r="M73" s="3" t="s">
        <v>249</v>
      </c>
      <c r="N73" s="3">
        <f>5026.13*2</f>
        <v>10052.26</v>
      </c>
      <c r="O73" s="3"/>
      <c r="P73" s="3" t="s">
        <v>251</v>
      </c>
      <c r="Q73" s="3">
        <f>Q71+Q72</f>
        <v>18651.564506128336</v>
      </c>
      <c r="S73" s="3" t="s">
        <v>249</v>
      </c>
      <c r="T73" s="3">
        <f>5026.13*2</f>
        <v>10052.26</v>
      </c>
      <c r="U73" s="3"/>
      <c r="V73" s="3" t="s">
        <v>251</v>
      </c>
      <c r="W73" s="3">
        <f>W71+W72</f>
        <v>15623.113788752704</v>
      </c>
    </row>
    <row r="74" spans="1:23" x14ac:dyDescent="0.25">
      <c r="A74" s="3" t="s">
        <v>252</v>
      </c>
      <c r="B74" s="3">
        <v>9614.67</v>
      </c>
      <c r="C74" s="3"/>
      <c r="D74" s="3" t="s">
        <v>252</v>
      </c>
      <c r="E74" s="3">
        <v>11176.63</v>
      </c>
      <c r="G74" s="3" t="s">
        <v>252</v>
      </c>
      <c r="H74" s="3">
        <v>9614.67</v>
      </c>
      <c r="I74" s="3"/>
      <c r="J74" s="3" t="s">
        <v>252</v>
      </c>
      <c r="K74" s="3">
        <v>13381.48</v>
      </c>
      <c r="M74" s="3" t="s">
        <v>252</v>
      </c>
      <c r="N74" s="3">
        <v>9614.67</v>
      </c>
      <c r="O74" s="3"/>
      <c r="P74" s="3" t="s">
        <v>252</v>
      </c>
      <c r="Q74" s="3">
        <v>13381.48</v>
      </c>
      <c r="S74" s="3" t="s">
        <v>252</v>
      </c>
      <c r="T74" s="3">
        <v>9614.67</v>
      </c>
      <c r="U74" s="3"/>
      <c r="V74" s="3" t="s">
        <v>252</v>
      </c>
      <c r="W74" s="3">
        <v>11176.63</v>
      </c>
    </row>
    <row r="75" spans="1:23" x14ac:dyDescent="0.25">
      <c r="A75" s="3" t="s">
        <v>253</v>
      </c>
      <c r="B75" s="3">
        <v>11716.63</v>
      </c>
      <c r="C75" s="3"/>
      <c r="D75" s="3" t="s">
        <v>253</v>
      </c>
      <c r="E75" s="3">
        <f>(E73-E74)</f>
        <v>1156.8648558038949</v>
      </c>
      <c r="G75" s="3" t="s">
        <v>253</v>
      </c>
      <c r="H75" s="3">
        <v>11716.63</v>
      </c>
      <c r="I75" s="3"/>
      <c r="J75" s="3" t="s">
        <v>253</v>
      </c>
      <c r="K75" s="3">
        <f>(K73-K74)</f>
        <v>6690.8391636625856</v>
      </c>
      <c r="M75" s="3" t="s">
        <v>253</v>
      </c>
      <c r="N75" s="3">
        <v>11716.63</v>
      </c>
      <c r="O75" s="3"/>
      <c r="P75" s="3" t="s">
        <v>253</v>
      </c>
      <c r="Q75" s="3">
        <f>(Q73-Q74)</f>
        <v>5270.0845061283362</v>
      </c>
      <c r="S75" s="3" t="s">
        <v>253</v>
      </c>
      <c r="T75" s="3">
        <v>11716.63</v>
      </c>
      <c r="U75" s="3"/>
      <c r="V75" s="3" t="s">
        <v>253</v>
      </c>
      <c r="W75" s="3">
        <f>(W73-W74)</f>
        <v>4446.4837887527046</v>
      </c>
    </row>
    <row r="76" spans="1:23" x14ac:dyDescent="0.25">
      <c r="A76" s="3" t="s">
        <v>254</v>
      </c>
      <c r="B76" s="5">
        <v>0.16</v>
      </c>
      <c r="C76" s="3"/>
      <c r="D76" s="3" t="s">
        <v>254</v>
      </c>
      <c r="E76" s="5">
        <v>0.1792</v>
      </c>
      <c r="G76" s="3" t="s">
        <v>254</v>
      </c>
      <c r="H76" s="5">
        <v>0.16</v>
      </c>
      <c r="I76" s="3"/>
      <c r="J76" s="3" t="s">
        <v>254</v>
      </c>
      <c r="K76" s="5">
        <v>0.21360000000000001</v>
      </c>
      <c r="M76" s="3" t="s">
        <v>254</v>
      </c>
      <c r="N76" s="5">
        <v>0.16</v>
      </c>
      <c r="O76" s="3"/>
      <c r="P76" s="3" t="s">
        <v>254</v>
      </c>
      <c r="Q76" s="5">
        <v>0.21360000000000001</v>
      </c>
      <c r="S76" s="3" t="s">
        <v>254</v>
      </c>
      <c r="T76" s="5">
        <v>0.16</v>
      </c>
      <c r="U76" s="3"/>
      <c r="V76" s="3" t="s">
        <v>254</v>
      </c>
      <c r="W76" s="5">
        <v>0.1792</v>
      </c>
    </row>
    <row r="77" spans="1:23" x14ac:dyDescent="0.25">
      <c r="A77" s="3" t="s">
        <v>255</v>
      </c>
      <c r="B77" s="3">
        <f>B75*B76</f>
        <v>1874.6607999999999</v>
      </c>
      <c r="C77" s="3"/>
      <c r="D77" s="3" t="s">
        <v>255</v>
      </c>
      <c r="E77" s="3">
        <f>(E75*E76)</f>
        <v>207.31018216005796</v>
      </c>
      <c r="G77" s="3" t="s">
        <v>255</v>
      </c>
      <c r="H77" s="3">
        <f>H75*H76</f>
        <v>1874.6607999999999</v>
      </c>
      <c r="I77" s="3"/>
      <c r="J77" s="3" t="s">
        <v>255</v>
      </c>
      <c r="K77" s="3">
        <f>(K75*K76)</f>
        <v>1429.1632453583284</v>
      </c>
      <c r="M77" s="3" t="s">
        <v>255</v>
      </c>
      <c r="N77" s="3">
        <f>N75*N76</f>
        <v>1874.6607999999999</v>
      </c>
      <c r="O77" s="3"/>
      <c r="P77" s="3" t="s">
        <v>255</v>
      </c>
      <c r="Q77" s="3">
        <f>(Q75*Q76)</f>
        <v>1125.6900505090127</v>
      </c>
      <c r="S77" s="3" t="s">
        <v>255</v>
      </c>
      <c r="T77" s="3">
        <f>T75*T76</f>
        <v>1874.6607999999999</v>
      </c>
      <c r="U77" s="3"/>
      <c r="V77" s="3" t="s">
        <v>255</v>
      </c>
      <c r="W77" s="3">
        <f>(W75*W76)</f>
        <v>796.80989494448465</v>
      </c>
    </row>
    <row r="78" spans="1:23" x14ac:dyDescent="0.25">
      <c r="A78" s="3" t="s">
        <v>256</v>
      </c>
      <c r="B78" s="3">
        <v>772.1</v>
      </c>
      <c r="C78" s="3"/>
      <c r="D78" s="3" t="s">
        <v>256</v>
      </c>
      <c r="E78" s="3">
        <v>1022.01</v>
      </c>
      <c r="G78" s="3" t="s">
        <v>256</v>
      </c>
      <c r="H78" s="3">
        <v>772.1</v>
      </c>
      <c r="I78" s="3"/>
      <c r="J78" s="3" t="s">
        <v>256</v>
      </c>
      <c r="K78" s="3">
        <v>1417.12</v>
      </c>
      <c r="M78" s="3" t="s">
        <v>256</v>
      </c>
      <c r="N78" s="3">
        <v>772.1</v>
      </c>
      <c r="O78" s="3"/>
      <c r="P78" s="3" t="s">
        <v>256</v>
      </c>
      <c r="Q78" s="3">
        <v>1417.12</v>
      </c>
      <c r="S78" s="3" t="s">
        <v>256</v>
      </c>
      <c r="T78" s="3">
        <v>772.1</v>
      </c>
      <c r="U78" s="3"/>
      <c r="V78" s="3" t="s">
        <v>256</v>
      </c>
      <c r="W78" s="3">
        <v>1022.01</v>
      </c>
    </row>
    <row r="79" spans="1:23" x14ac:dyDescent="0.25">
      <c r="A79" s="3" t="s">
        <v>257</v>
      </c>
      <c r="B79" s="3">
        <f>B77+B78</f>
        <v>2646.7608</v>
      </c>
      <c r="C79" s="3"/>
      <c r="D79" s="3" t="s">
        <v>257</v>
      </c>
      <c r="E79" s="3">
        <f>(E77+E78)</f>
        <v>1229.320182160058</v>
      </c>
      <c r="G79" s="3" t="s">
        <v>257</v>
      </c>
      <c r="H79" s="3">
        <f>H77+H78</f>
        <v>2646.7608</v>
      </c>
      <c r="I79" s="3"/>
      <c r="J79" s="3" t="s">
        <v>257</v>
      </c>
      <c r="K79" s="3">
        <f>(K77+K78)</f>
        <v>2846.2832453583283</v>
      </c>
      <c r="M79" s="3" t="s">
        <v>257</v>
      </c>
      <c r="N79" s="3">
        <f>N77+N78</f>
        <v>2646.7608</v>
      </c>
      <c r="O79" s="3"/>
      <c r="P79" s="3" t="s">
        <v>257</v>
      </c>
      <c r="Q79" s="3">
        <f>(Q77+Q78)</f>
        <v>2542.8100505090124</v>
      </c>
      <c r="S79" s="3" t="s">
        <v>257</v>
      </c>
      <c r="T79" s="3">
        <f>T77+T78</f>
        <v>2646.7608</v>
      </c>
      <c r="U79" s="3"/>
      <c r="V79" s="3" t="s">
        <v>257</v>
      </c>
      <c r="W79" s="3">
        <f>(W77+W78)</f>
        <v>1818.8198949444845</v>
      </c>
    </row>
    <row r="80" spans="1:23" x14ac:dyDescent="0.25">
      <c r="A80" s="3" t="s">
        <v>258</v>
      </c>
      <c r="B80" s="3"/>
      <c r="C80" s="3"/>
      <c r="D80" s="3" t="s">
        <v>258</v>
      </c>
      <c r="E80" s="3"/>
      <c r="G80" s="3" t="s">
        <v>258</v>
      </c>
      <c r="H80" s="3"/>
      <c r="I80" s="3"/>
      <c r="J80" s="3" t="s">
        <v>258</v>
      </c>
      <c r="K80" s="3"/>
      <c r="M80" s="3" t="s">
        <v>258</v>
      </c>
      <c r="N80" s="3"/>
      <c r="O80" s="3"/>
      <c r="P80" s="3" t="s">
        <v>258</v>
      </c>
      <c r="Q80" s="3"/>
      <c r="S80" s="3" t="s">
        <v>258</v>
      </c>
      <c r="T80" s="3"/>
      <c r="U80" s="3"/>
      <c r="V80" s="3" t="s">
        <v>258</v>
      </c>
      <c r="W80" s="3"/>
    </row>
    <row r="81" spans="1:23" x14ac:dyDescent="0.25">
      <c r="A81" s="3" t="s">
        <v>259</v>
      </c>
      <c r="B81" s="3">
        <f>(B79-B80)</f>
        <v>2646.7608</v>
      </c>
      <c r="C81" s="3"/>
      <c r="D81" s="3" t="s">
        <v>259</v>
      </c>
      <c r="E81" s="3">
        <f>(E79-E80)</f>
        <v>1229.320182160058</v>
      </c>
      <c r="G81" s="3" t="s">
        <v>259</v>
      </c>
      <c r="H81" s="3">
        <f>(H79-H80)</f>
        <v>2646.7608</v>
      </c>
      <c r="I81" s="3"/>
      <c r="J81" s="3" t="s">
        <v>259</v>
      </c>
      <c r="K81" s="3">
        <f>(K79-K80)</f>
        <v>2846.2832453583283</v>
      </c>
      <c r="M81" s="3" t="s">
        <v>259</v>
      </c>
      <c r="N81" s="3">
        <f>(N79-N80)</f>
        <v>2646.7608</v>
      </c>
      <c r="O81" s="3"/>
      <c r="P81" s="3" t="s">
        <v>259</v>
      </c>
      <c r="Q81" s="3">
        <f>(Q79-Q80)</f>
        <v>2542.8100505090124</v>
      </c>
      <c r="S81" s="3" t="s">
        <v>259</v>
      </c>
      <c r="T81" s="3">
        <f>(T79-T80)</f>
        <v>2646.7608</v>
      </c>
      <c r="U81" s="3"/>
      <c r="V81" s="3" t="s">
        <v>259</v>
      </c>
      <c r="W81" s="3">
        <f>(W79-W80)</f>
        <v>1818.8198949444845</v>
      </c>
    </row>
    <row r="82" spans="1:23" x14ac:dyDescent="0.25">
      <c r="A82" s="3"/>
      <c r="B82" s="3"/>
      <c r="C82" s="3"/>
      <c r="D82" s="3"/>
      <c r="E82" s="3"/>
      <c r="G82" s="3"/>
      <c r="H82" s="3"/>
      <c r="I82" s="3"/>
      <c r="J82" s="3"/>
      <c r="K82" s="3"/>
      <c r="M82" s="3"/>
      <c r="N82" s="3"/>
      <c r="O82" s="3"/>
      <c r="P82" s="3"/>
      <c r="Q82" s="3"/>
      <c r="S82" s="3"/>
      <c r="T82" s="3"/>
      <c r="U82" s="3"/>
      <c r="V82" s="3"/>
      <c r="W82" s="3"/>
    </row>
    <row r="83" spans="1:23" x14ac:dyDescent="0.25">
      <c r="A83" s="3"/>
      <c r="B83" s="3"/>
      <c r="C83" s="3"/>
      <c r="D83" s="3" t="s">
        <v>260</v>
      </c>
      <c r="E83" s="3">
        <f>E81-B81</f>
        <v>-1417.440617839942</v>
      </c>
      <c r="G83" s="3"/>
      <c r="H83" s="3"/>
      <c r="I83" s="3"/>
      <c r="J83" s="3" t="s">
        <v>260</v>
      </c>
      <c r="K83" s="3">
        <f>K81-H81</f>
        <v>199.52244535832824</v>
      </c>
      <c r="M83" s="3"/>
      <c r="N83" s="3"/>
      <c r="O83" s="3"/>
      <c r="P83" s="3" t="s">
        <v>260</v>
      </c>
      <c r="Q83" s="3">
        <f>Q81-N81</f>
        <v>-103.95074949098762</v>
      </c>
      <c r="S83" s="3"/>
      <c r="T83" s="3"/>
      <c r="U83" s="3"/>
      <c r="V83" s="3" t="s">
        <v>260</v>
      </c>
      <c r="W83" s="3">
        <f>W81-T81</f>
        <v>-827.94090505551549</v>
      </c>
    </row>
    <row r="86" spans="1:23" ht="18.75" x14ac:dyDescent="0.3">
      <c r="A86" s="95" t="s">
        <v>433</v>
      </c>
      <c r="B86" s="96"/>
      <c r="C86" s="3"/>
      <c r="D86" s="96"/>
      <c r="E86" s="96"/>
      <c r="G86" s="95" t="s">
        <v>433</v>
      </c>
      <c r="H86" s="96"/>
      <c r="I86" s="3"/>
      <c r="J86" s="96"/>
      <c r="K86" s="96"/>
      <c r="M86" s="95" t="s">
        <v>433</v>
      </c>
      <c r="N86" s="96"/>
      <c r="O86" s="3"/>
      <c r="P86" s="96"/>
      <c r="Q86" s="96"/>
    </row>
    <row r="87" spans="1:23" x14ac:dyDescent="0.25">
      <c r="A87" s="3"/>
      <c r="B87" s="3"/>
      <c r="C87" s="3"/>
      <c r="D87" s="3"/>
      <c r="E87" s="3"/>
      <c r="G87" s="3"/>
      <c r="H87" s="3"/>
      <c r="I87" s="3"/>
      <c r="J87" s="3"/>
      <c r="K87" s="3"/>
      <c r="M87" s="3"/>
      <c r="N87" s="3"/>
      <c r="O87" s="3"/>
      <c r="P87" s="3"/>
      <c r="Q87" s="3"/>
    </row>
    <row r="88" spans="1:23" x14ac:dyDescent="0.25">
      <c r="A88" s="3"/>
      <c r="B88" s="3"/>
      <c r="C88" s="3"/>
      <c r="D88" s="3" t="s">
        <v>249</v>
      </c>
      <c r="E88" s="3">
        <f>B90</f>
        <v>10052.26</v>
      </c>
      <c r="G88" s="3"/>
      <c r="H88" s="3"/>
      <c r="I88" s="3"/>
      <c r="J88" s="3" t="s">
        <v>249</v>
      </c>
      <c r="K88" s="3">
        <f>H90</f>
        <v>13246</v>
      </c>
      <c r="M88" s="3"/>
      <c r="N88" s="3"/>
      <c r="O88" s="3"/>
      <c r="P88" s="3" t="s">
        <v>249</v>
      </c>
      <c r="Q88" s="3">
        <f>N90</f>
        <v>13246</v>
      </c>
    </row>
    <row r="89" spans="1:23" x14ac:dyDescent="0.25">
      <c r="A89" s="3"/>
      <c r="B89" s="3"/>
      <c r="C89" s="3"/>
      <c r="D89" s="3" t="s">
        <v>250</v>
      </c>
      <c r="E89" s="3">
        <v>12487.685674116801</v>
      </c>
      <c r="G89" s="3"/>
      <c r="H89" s="3"/>
      <c r="I89" s="3"/>
      <c r="J89" s="3" t="s">
        <v>250</v>
      </c>
      <c r="K89" s="3">
        <v>12487.685674116801</v>
      </c>
      <c r="M89" s="3"/>
      <c r="N89" s="3"/>
      <c r="O89" s="3"/>
      <c r="P89" s="3" t="s">
        <v>250</v>
      </c>
      <c r="Q89" s="3">
        <v>1605.1701658255229</v>
      </c>
    </row>
    <row r="90" spans="1:23" x14ac:dyDescent="0.25">
      <c r="A90" s="3" t="s">
        <v>249</v>
      </c>
      <c r="B90" s="3">
        <f>5026.13*2</f>
        <v>10052.26</v>
      </c>
      <c r="C90" s="3"/>
      <c r="D90" s="3" t="s">
        <v>251</v>
      </c>
      <c r="E90" s="3">
        <f>E88+E89</f>
        <v>22539.945674116803</v>
      </c>
      <c r="G90" s="3" t="s">
        <v>249</v>
      </c>
      <c r="H90" s="3">
        <f>6623*2</f>
        <v>13246</v>
      </c>
      <c r="I90" s="3"/>
      <c r="J90" s="3" t="s">
        <v>251</v>
      </c>
      <c r="K90" s="3">
        <f>K88+K89</f>
        <v>25733.685674116801</v>
      </c>
      <c r="M90" s="3" t="s">
        <v>249</v>
      </c>
      <c r="N90" s="3">
        <f>6623*2</f>
        <v>13246</v>
      </c>
      <c r="O90" s="3"/>
      <c r="P90" s="3" t="s">
        <v>251</v>
      </c>
      <c r="Q90" s="3">
        <f>Q88+Q89</f>
        <v>14851.170165825522</v>
      </c>
    </row>
    <row r="91" spans="1:23" x14ac:dyDescent="0.25">
      <c r="A91" s="3" t="s">
        <v>252</v>
      </c>
      <c r="B91" s="3">
        <v>9614.67</v>
      </c>
      <c r="C91" s="3"/>
      <c r="D91" s="3" t="s">
        <v>252</v>
      </c>
      <c r="E91" s="3">
        <v>13381.47</v>
      </c>
      <c r="G91" s="3" t="s">
        <v>252</v>
      </c>
      <c r="H91" s="3">
        <v>9614.67</v>
      </c>
      <c r="I91" s="3"/>
      <c r="J91" s="3" t="s">
        <v>252</v>
      </c>
      <c r="K91" s="3">
        <v>13381.47</v>
      </c>
      <c r="M91" s="3" t="s">
        <v>252</v>
      </c>
      <c r="N91" s="3">
        <v>11176.63</v>
      </c>
      <c r="O91" s="3"/>
      <c r="P91" s="3" t="s">
        <v>252</v>
      </c>
      <c r="Q91" s="3">
        <v>13381.47</v>
      </c>
    </row>
    <row r="92" spans="1:23" x14ac:dyDescent="0.25">
      <c r="A92" s="3" t="s">
        <v>253</v>
      </c>
      <c r="B92" s="3">
        <v>11716.63</v>
      </c>
      <c r="C92" s="3"/>
      <c r="D92" s="3" t="s">
        <v>253</v>
      </c>
      <c r="E92" s="3">
        <f>(E90-E91)</f>
        <v>9158.4756741168039</v>
      </c>
      <c r="G92" s="3" t="s">
        <v>253</v>
      </c>
      <c r="H92" s="3">
        <v>11716.63</v>
      </c>
      <c r="I92" s="3"/>
      <c r="J92" s="3" t="s">
        <v>253</v>
      </c>
      <c r="K92" s="3">
        <f>(K90-K91)</f>
        <v>12352.215674116802</v>
      </c>
      <c r="M92" s="3" t="s">
        <v>253</v>
      </c>
      <c r="N92" s="3">
        <v>11716.63</v>
      </c>
      <c r="O92" s="3"/>
      <c r="P92" s="3" t="s">
        <v>253</v>
      </c>
      <c r="Q92" s="3">
        <f>(Q90-Q91)</f>
        <v>1469.7001658255231</v>
      </c>
    </row>
    <row r="93" spans="1:23" x14ac:dyDescent="0.25">
      <c r="A93" s="3" t="s">
        <v>254</v>
      </c>
      <c r="B93" s="5">
        <v>0.16</v>
      </c>
      <c r="C93" s="3"/>
      <c r="D93" s="3" t="s">
        <v>254</v>
      </c>
      <c r="E93" s="5">
        <v>0.21360000000000001</v>
      </c>
      <c r="G93" s="3" t="s">
        <v>254</v>
      </c>
      <c r="H93" s="5">
        <v>0.16</v>
      </c>
      <c r="I93" s="3"/>
      <c r="J93" s="3" t="s">
        <v>254</v>
      </c>
      <c r="K93" s="5">
        <v>0.21360000000000001</v>
      </c>
      <c r="M93" s="3" t="s">
        <v>254</v>
      </c>
      <c r="N93" s="5">
        <v>0.1792</v>
      </c>
      <c r="O93" s="3"/>
      <c r="P93" s="3" t="s">
        <v>254</v>
      </c>
      <c r="Q93" s="5">
        <v>0.21360000000000001</v>
      </c>
    </row>
    <row r="94" spans="1:23" x14ac:dyDescent="0.25">
      <c r="A94" s="3" t="s">
        <v>255</v>
      </c>
      <c r="B94" s="3">
        <f>B92*B93</f>
        <v>1874.6607999999999</v>
      </c>
      <c r="C94" s="3"/>
      <c r="D94" s="3" t="s">
        <v>255</v>
      </c>
      <c r="E94" s="3">
        <f>(E92*E93)</f>
        <v>1956.2504039913495</v>
      </c>
      <c r="G94" s="3" t="s">
        <v>255</v>
      </c>
      <c r="H94" s="3">
        <f>H92*H93</f>
        <v>1874.6607999999999</v>
      </c>
      <c r="I94" s="3"/>
      <c r="J94" s="3" t="s">
        <v>255</v>
      </c>
      <c r="K94" s="3">
        <f>(K92*K93)</f>
        <v>2638.4332679913491</v>
      </c>
      <c r="M94" s="3" t="s">
        <v>255</v>
      </c>
      <c r="N94" s="3">
        <f>N92*N93</f>
        <v>2099.6200959999996</v>
      </c>
      <c r="O94" s="3"/>
      <c r="P94" s="3" t="s">
        <v>255</v>
      </c>
      <c r="Q94" s="3">
        <f>(Q92*Q93)</f>
        <v>313.92795542033173</v>
      </c>
    </row>
    <row r="95" spans="1:23" x14ac:dyDescent="0.25">
      <c r="A95" s="3" t="s">
        <v>256</v>
      </c>
      <c r="B95" s="3">
        <v>772.1</v>
      </c>
      <c r="C95" s="3"/>
      <c r="D95" s="3" t="s">
        <v>256</v>
      </c>
      <c r="E95" s="3">
        <v>1417.12</v>
      </c>
      <c r="G95" s="3" t="s">
        <v>256</v>
      </c>
      <c r="H95" s="3">
        <v>772.1</v>
      </c>
      <c r="I95" s="3"/>
      <c r="J95" s="3" t="s">
        <v>256</v>
      </c>
      <c r="K95" s="3">
        <v>1417.12</v>
      </c>
      <c r="M95" s="3" t="s">
        <v>256</v>
      </c>
      <c r="N95" s="3">
        <v>1022.01</v>
      </c>
      <c r="O95" s="3"/>
      <c r="P95" s="3" t="s">
        <v>256</v>
      </c>
      <c r="Q95" s="3">
        <v>1417.12</v>
      </c>
    </row>
    <row r="96" spans="1:23" x14ac:dyDescent="0.25">
      <c r="A96" s="3" t="s">
        <v>257</v>
      </c>
      <c r="B96" s="3">
        <f>B94+B95</f>
        <v>2646.7608</v>
      </c>
      <c r="C96" s="3"/>
      <c r="D96" s="3" t="s">
        <v>257</v>
      </c>
      <c r="E96" s="3">
        <f>(E94+E95)</f>
        <v>3373.3704039913491</v>
      </c>
      <c r="G96" s="3" t="s">
        <v>257</v>
      </c>
      <c r="H96" s="3">
        <f>H94+H95</f>
        <v>2646.7608</v>
      </c>
      <c r="I96" s="3"/>
      <c r="J96" s="3" t="s">
        <v>257</v>
      </c>
      <c r="K96" s="3">
        <f>(K94+K95)</f>
        <v>4055.553267991349</v>
      </c>
      <c r="M96" s="3" t="s">
        <v>257</v>
      </c>
      <c r="N96" s="3">
        <f>N94+N95</f>
        <v>3121.6300959999999</v>
      </c>
      <c r="O96" s="3"/>
      <c r="P96" s="3" t="s">
        <v>257</v>
      </c>
      <c r="Q96" s="3">
        <f>(Q94+Q95)</f>
        <v>1731.0479554203316</v>
      </c>
    </row>
    <row r="97" spans="1:17" x14ac:dyDescent="0.25">
      <c r="A97" s="3" t="s">
        <v>258</v>
      </c>
      <c r="B97" s="3"/>
      <c r="C97" s="3"/>
      <c r="D97" s="3" t="s">
        <v>258</v>
      </c>
      <c r="E97" s="3"/>
      <c r="G97" s="3" t="s">
        <v>258</v>
      </c>
      <c r="H97" s="3"/>
      <c r="I97" s="3"/>
      <c r="J97" s="3" t="s">
        <v>258</v>
      </c>
      <c r="K97" s="3"/>
      <c r="M97" s="3" t="s">
        <v>258</v>
      </c>
      <c r="N97" s="3"/>
      <c r="O97" s="3"/>
      <c r="P97" s="3" t="s">
        <v>258</v>
      </c>
      <c r="Q97" s="3"/>
    </row>
    <row r="98" spans="1:17" x14ac:dyDescent="0.25">
      <c r="A98" s="3" t="s">
        <v>259</v>
      </c>
      <c r="B98" s="3">
        <f>(B96-B97)</f>
        <v>2646.7608</v>
      </c>
      <c r="C98" s="3"/>
      <c r="D98" s="3" t="s">
        <v>259</v>
      </c>
      <c r="E98" s="3">
        <f>(E96-E97)</f>
        <v>3373.3704039913491</v>
      </c>
      <c r="G98" s="3" t="s">
        <v>259</v>
      </c>
      <c r="H98" s="3">
        <f>(H96-H97)</f>
        <v>2646.7608</v>
      </c>
      <c r="I98" s="3"/>
      <c r="J98" s="3" t="s">
        <v>259</v>
      </c>
      <c r="K98" s="3">
        <f>(K96-K97)</f>
        <v>4055.553267991349</v>
      </c>
      <c r="M98" s="3" t="s">
        <v>259</v>
      </c>
      <c r="N98" s="3">
        <f>(N96-N97)</f>
        <v>3121.6300959999999</v>
      </c>
      <c r="O98" s="3"/>
      <c r="P98" s="3" t="s">
        <v>259</v>
      </c>
      <c r="Q98" s="3">
        <f>(Q96-Q97)</f>
        <v>1731.0479554203316</v>
      </c>
    </row>
    <row r="99" spans="1:17" x14ac:dyDescent="0.25">
      <c r="A99" s="3"/>
      <c r="B99" s="3"/>
      <c r="C99" s="3"/>
      <c r="D99" s="3"/>
      <c r="E99" s="3"/>
      <c r="G99" s="3"/>
      <c r="H99" s="3"/>
      <c r="I99" s="3"/>
      <c r="J99" s="3"/>
      <c r="K99" s="3"/>
      <c r="M99" s="3"/>
      <c r="N99" s="3"/>
      <c r="O99" s="3"/>
      <c r="P99" s="3"/>
      <c r="Q99" s="3"/>
    </row>
    <row r="100" spans="1:17" x14ac:dyDescent="0.25">
      <c r="A100" s="3"/>
      <c r="B100" s="3"/>
      <c r="C100" s="3"/>
      <c r="D100" s="3" t="s">
        <v>260</v>
      </c>
      <c r="E100" s="3">
        <f>E98-B98</f>
        <v>726.6096039913491</v>
      </c>
      <c r="G100" s="3"/>
      <c r="H100" s="3"/>
      <c r="I100" s="3"/>
      <c r="J100" s="3" t="s">
        <v>260</v>
      </c>
      <c r="K100" s="3">
        <f>K98-H98</f>
        <v>1408.792467991349</v>
      </c>
      <c r="M100" s="3"/>
      <c r="N100" s="3"/>
      <c r="O100" s="3"/>
      <c r="P100" s="3" t="s">
        <v>260</v>
      </c>
      <c r="Q100" s="3">
        <f>Q98-N98</f>
        <v>-1390.5821405796682</v>
      </c>
    </row>
  </sheetData>
  <mergeCells count="46">
    <mergeCell ref="P35:Q35"/>
    <mergeCell ref="S1:T1"/>
    <mergeCell ref="V1:W1"/>
    <mergeCell ref="A18:B18"/>
    <mergeCell ref="D18:E18"/>
    <mergeCell ref="G18:H18"/>
    <mergeCell ref="J18:K18"/>
    <mergeCell ref="M18:N18"/>
    <mergeCell ref="P18:Q18"/>
    <mergeCell ref="S18:T18"/>
    <mergeCell ref="V18:W18"/>
    <mergeCell ref="A1:B1"/>
    <mergeCell ref="D1:E1"/>
    <mergeCell ref="G1:H1"/>
    <mergeCell ref="J1:K1"/>
    <mergeCell ref="M1:N1"/>
    <mergeCell ref="S69:T69"/>
    <mergeCell ref="V69:W69"/>
    <mergeCell ref="A86:B86"/>
    <mergeCell ref="D86:E86"/>
    <mergeCell ref="G86:H86"/>
    <mergeCell ref="J86:K86"/>
    <mergeCell ref="M86:N86"/>
    <mergeCell ref="P86:Q86"/>
    <mergeCell ref="P1:Q1"/>
    <mergeCell ref="P69:Q69"/>
    <mergeCell ref="S35:T35"/>
    <mergeCell ref="V35:W35"/>
    <mergeCell ref="A52:B52"/>
    <mergeCell ref="D52:E52"/>
    <mergeCell ref="G52:H52"/>
    <mergeCell ref="J52:K52"/>
    <mergeCell ref="M52:N52"/>
    <mergeCell ref="P52:Q52"/>
    <mergeCell ref="S52:T52"/>
    <mergeCell ref="V52:W52"/>
    <mergeCell ref="A35:B35"/>
    <mergeCell ref="D35:E35"/>
    <mergeCell ref="G35:H35"/>
    <mergeCell ref="J35:K35"/>
    <mergeCell ref="M35:N35"/>
    <mergeCell ref="A69:B69"/>
    <mergeCell ref="D69:E69"/>
    <mergeCell ref="G69:H69"/>
    <mergeCell ref="J69:K69"/>
    <mergeCell ref="M69:N6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E3BE7-26A7-4F8A-8A82-A58EF890D934}">
  <dimension ref="A1:Q29"/>
  <sheetViews>
    <sheetView zoomScale="77" zoomScaleNormal="77" workbookViewId="0">
      <selection activeCell="W6" sqref="W6"/>
    </sheetView>
  </sheetViews>
  <sheetFormatPr baseColWidth="10" defaultRowHeight="15" x14ac:dyDescent="0.25"/>
  <cols>
    <col min="1" max="1" width="5.28515625" customWidth="1"/>
    <col min="2" max="2" width="34.42578125" customWidth="1"/>
    <col min="3" max="3" width="28" customWidth="1"/>
    <col min="4" max="4" width="19" customWidth="1"/>
    <col min="5" max="5" width="15.85546875" customWidth="1"/>
    <col min="6" max="6" width="14.140625" customWidth="1"/>
    <col min="8" max="8" width="14.85546875" customWidth="1"/>
    <col min="10" max="10" width="15.42578125" customWidth="1"/>
    <col min="11" max="11" width="11.28515625" hidden="1" customWidth="1"/>
    <col min="12" max="13" width="18" hidden="1" customWidth="1"/>
    <col min="14" max="14" width="11.42578125" hidden="1" customWidth="1"/>
    <col min="15" max="15" width="15.28515625" hidden="1" customWidth="1"/>
    <col min="16" max="16" width="16.7109375" customWidth="1"/>
    <col min="17" max="17" width="31.42578125" customWidth="1"/>
  </cols>
  <sheetData>
    <row r="1" spans="1:17" ht="47.25" customHeight="1" x14ac:dyDescent="0.25">
      <c r="A1" s="112" t="s">
        <v>432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4"/>
    </row>
    <row r="2" spans="1:17" ht="23.25" customHeight="1" x14ac:dyDescent="0.25">
      <c r="A2" s="101" t="s">
        <v>244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3"/>
    </row>
    <row r="3" spans="1:17" ht="30" x14ac:dyDescent="0.25">
      <c r="A3" s="10" t="s">
        <v>1</v>
      </c>
      <c r="B3" s="8" t="s">
        <v>2</v>
      </c>
      <c r="C3" s="8" t="s">
        <v>3</v>
      </c>
      <c r="D3" s="9" t="s">
        <v>4</v>
      </c>
      <c r="E3" s="9" t="s">
        <v>5</v>
      </c>
      <c r="F3" s="9" t="s">
        <v>6</v>
      </c>
      <c r="G3" s="8" t="s">
        <v>7</v>
      </c>
      <c r="H3" s="9" t="s">
        <v>8</v>
      </c>
      <c r="I3" s="9" t="s">
        <v>9</v>
      </c>
      <c r="J3" s="9" t="s">
        <v>10</v>
      </c>
      <c r="K3" s="9" t="s">
        <v>11</v>
      </c>
      <c r="L3" s="9" t="s">
        <v>12</v>
      </c>
      <c r="M3" s="9" t="s">
        <v>13</v>
      </c>
      <c r="N3" s="8" t="s">
        <v>14</v>
      </c>
      <c r="O3" s="9" t="s">
        <v>15</v>
      </c>
      <c r="P3" s="9" t="s">
        <v>16</v>
      </c>
      <c r="Q3" s="11" t="s">
        <v>17</v>
      </c>
    </row>
    <row r="4" spans="1:17" x14ac:dyDescent="0.25">
      <c r="A4" s="124" t="s">
        <v>420</v>
      </c>
      <c r="B4" s="125"/>
      <c r="C4" s="8"/>
      <c r="D4" s="9"/>
      <c r="E4" s="9"/>
      <c r="F4" s="9"/>
      <c r="G4" s="8"/>
      <c r="H4" s="9"/>
      <c r="I4" s="9"/>
      <c r="J4" s="9"/>
      <c r="K4" s="9"/>
      <c r="L4" s="9"/>
      <c r="M4" s="9"/>
      <c r="N4" s="8"/>
      <c r="O4" s="9"/>
      <c r="P4" s="9"/>
      <c r="Q4" s="11"/>
    </row>
    <row r="5" spans="1:17" ht="25.5" customHeight="1" x14ac:dyDescent="0.25">
      <c r="A5" s="59">
        <v>1</v>
      </c>
      <c r="B5" s="55" t="s">
        <v>225</v>
      </c>
      <c r="C5" s="55" t="s">
        <v>226</v>
      </c>
      <c r="D5" s="56">
        <v>3839.84</v>
      </c>
      <c r="E5" s="56">
        <f>D5*2/30.4</f>
        <v>252.62105263157898</v>
      </c>
      <c r="F5" s="54">
        <f>31+28+31+30+31+30+31+31+30+31+30+31</f>
        <v>365</v>
      </c>
      <c r="G5" s="54">
        <f>F5*50/365</f>
        <v>50</v>
      </c>
      <c r="H5" s="57">
        <f>E5*G5</f>
        <v>12631.052631578948</v>
      </c>
      <c r="I5" s="58">
        <f>F5*30/365*96.22</f>
        <v>2886.6</v>
      </c>
      <c r="J5" s="57">
        <f>H5-I5</f>
        <v>9744.4526315789481</v>
      </c>
      <c r="K5" s="56">
        <v>684.60125810526301</v>
      </c>
      <c r="L5" s="57">
        <f>H5+K5</f>
        <v>13315.653889684212</v>
      </c>
      <c r="M5" s="55"/>
      <c r="N5" s="56">
        <f>K5</f>
        <v>684.60125810526301</v>
      </c>
      <c r="O5" s="56">
        <f>N5</f>
        <v>684.60125810526301</v>
      </c>
      <c r="P5" s="57">
        <f>L5-O5</f>
        <v>12631.052631578948</v>
      </c>
      <c r="Q5" s="60"/>
    </row>
    <row r="6" spans="1:17" ht="25.5" customHeight="1" x14ac:dyDescent="0.25">
      <c r="A6" s="31">
        <v>2</v>
      </c>
      <c r="B6" s="13" t="s">
        <v>227</v>
      </c>
      <c r="C6" s="13" t="s">
        <v>228</v>
      </c>
      <c r="D6" s="14">
        <v>2544.1</v>
      </c>
      <c r="E6" s="14">
        <f t="shared" ref="E6:E13" si="0">D6*2/30.4</f>
        <v>167.375</v>
      </c>
      <c r="F6" s="12">
        <f t="shared" ref="F6:F13" si="1">31+28+31+30+31+30+31+31+30+31+30+31</f>
        <v>365</v>
      </c>
      <c r="G6" s="12">
        <f t="shared" ref="G6:G13" si="2">F6*50/365</f>
        <v>50</v>
      </c>
      <c r="H6" s="15">
        <f t="shared" ref="H6:H13" si="3">E6*G6</f>
        <v>8368.75</v>
      </c>
      <c r="I6" s="21">
        <f t="shared" ref="I6:I18" si="4">F6*30/365*96.22</f>
        <v>2886.6</v>
      </c>
      <c r="J6" s="15">
        <f t="shared" ref="J6:J18" si="5">H6-I6</f>
        <v>5482.15</v>
      </c>
      <c r="K6" s="14">
        <v>162.76447999999982</v>
      </c>
      <c r="L6" s="15">
        <f t="shared" ref="L6:L13" si="6">H6+K6</f>
        <v>8531.5144799999998</v>
      </c>
      <c r="M6" s="13"/>
      <c r="N6" s="14">
        <f t="shared" ref="N6:N13" si="7">K6</f>
        <v>162.76447999999982</v>
      </c>
      <c r="O6" s="14">
        <f t="shared" ref="O6:O13" si="8">N6</f>
        <v>162.76447999999982</v>
      </c>
      <c r="P6" s="15">
        <f>L6-O6</f>
        <v>8368.75</v>
      </c>
      <c r="Q6" s="32"/>
    </row>
    <row r="7" spans="1:17" ht="25.5" customHeight="1" x14ac:dyDescent="0.25">
      <c r="A7" s="31">
        <v>3</v>
      </c>
      <c r="B7" s="13" t="s">
        <v>229</v>
      </c>
      <c r="C7" s="13" t="s">
        <v>230</v>
      </c>
      <c r="D7" s="14">
        <v>4167.38</v>
      </c>
      <c r="E7" s="14">
        <f t="shared" si="0"/>
        <v>274.16973684210529</v>
      </c>
      <c r="F7" s="12">
        <f t="shared" si="1"/>
        <v>365</v>
      </c>
      <c r="G7" s="12">
        <f t="shared" si="2"/>
        <v>50</v>
      </c>
      <c r="H7" s="15">
        <f t="shared" si="3"/>
        <v>13708.486842105265</v>
      </c>
      <c r="I7" s="21">
        <f t="shared" si="4"/>
        <v>2886.6</v>
      </c>
      <c r="J7" s="15">
        <f t="shared" si="5"/>
        <v>10821.886842105265</v>
      </c>
      <c r="K7" s="14">
        <v>1054.6662934736844</v>
      </c>
      <c r="L7" s="15">
        <f t="shared" si="6"/>
        <v>14763.15313557895</v>
      </c>
      <c r="M7" s="13"/>
      <c r="N7" s="14">
        <f t="shared" si="7"/>
        <v>1054.6662934736844</v>
      </c>
      <c r="O7" s="14">
        <f t="shared" si="8"/>
        <v>1054.6662934736844</v>
      </c>
      <c r="P7" s="15">
        <f t="shared" ref="P7:P13" si="9">L7-O7</f>
        <v>13708.486842105265</v>
      </c>
      <c r="Q7" s="32"/>
    </row>
    <row r="8" spans="1:17" ht="25.5" customHeight="1" x14ac:dyDescent="0.25">
      <c r="A8" s="31">
        <v>4</v>
      </c>
      <c r="B8" s="13" t="s">
        <v>231</v>
      </c>
      <c r="C8" s="13" t="s">
        <v>232</v>
      </c>
      <c r="D8" s="14">
        <v>4974.9000000000005</v>
      </c>
      <c r="E8" s="14">
        <f t="shared" si="0"/>
        <v>327.29605263157902</v>
      </c>
      <c r="F8" s="12">
        <f t="shared" si="1"/>
        <v>365</v>
      </c>
      <c r="G8" s="12">
        <f t="shared" si="2"/>
        <v>50</v>
      </c>
      <c r="H8" s="15">
        <f t="shared" si="3"/>
        <v>16364.80263157895</v>
      </c>
      <c r="I8" s="21">
        <f t="shared" si="4"/>
        <v>2886.6</v>
      </c>
      <c r="J8" s="15">
        <f t="shared" si="5"/>
        <v>13478.20263157895</v>
      </c>
      <c r="K8" s="14">
        <v>916.29643410526387</v>
      </c>
      <c r="L8" s="15">
        <f t="shared" si="6"/>
        <v>17281.099065684215</v>
      </c>
      <c r="M8" s="13"/>
      <c r="N8" s="14">
        <f t="shared" si="7"/>
        <v>916.29643410526387</v>
      </c>
      <c r="O8" s="14">
        <f t="shared" si="8"/>
        <v>916.29643410526387</v>
      </c>
      <c r="P8" s="15">
        <f t="shared" si="9"/>
        <v>16364.80263157895</v>
      </c>
      <c r="Q8" s="32"/>
    </row>
    <row r="9" spans="1:17" ht="25.5" customHeight="1" x14ac:dyDescent="0.25">
      <c r="A9" s="31">
        <v>5</v>
      </c>
      <c r="B9" s="13" t="s">
        <v>233</v>
      </c>
      <c r="C9" s="13" t="s">
        <v>228</v>
      </c>
      <c r="D9" s="14">
        <v>2792.33</v>
      </c>
      <c r="E9" s="14">
        <f t="shared" si="0"/>
        <v>183.7059210526316</v>
      </c>
      <c r="F9" s="12">
        <f t="shared" si="1"/>
        <v>365</v>
      </c>
      <c r="G9" s="12">
        <f t="shared" si="2"/>
        <v>50</v>
      </c>
      <c r="H9" s="15">
        <f t="shared" si="3"/>
        <v>9185.2960526315801</v>
      </c>
      <c r="I9" s="21">
        <f t="shared" si="4"/>
        <v>2886.6</v>
      </c>
      <c r="J9" s="15">
        <f t="shared" si="5"/>
        <v>6298.6960526315797</v>
      </c>
      <c r="K9" s="14">
        <v>0</v>
      </c>
      <c r="L9" s="15">
        <f t="shared" si="6"/>
        <v>9185.2960526315801</v>
      </c>
      <c r="M9" s="13"/>
      <c r="N9" s="13">
        <f t="shared" si="7"/>
        <v>0</v>
      </c>
      <c r="O9" s="13">
        <f t="shared" si="8"/>
        <v>0</v>
      </c>
      <c r="P9" s="15">
        <f t="shared" si="9"/>
        <v>9185.2960526315801</v>
      </c>
      <c r="Q9" s="32"/>
    </row>
    <row r="10" spans="1:17" ht="25.5" customHeight="1" x14ac:dyDescent="0.25">
      <c r="A10" s="31">
        <v>6</v>
      </c>
      <c r="B10" s="13" t="s">
        <v>234</v>
      </c>
      <c r="C10" s="13" t="s">
        <v>228</v>
      </c>
      <c r="D10" s="14">
        <v>3804.82</v>
      </c>
      <c r="E10" s="14">
        <f t="shared" si="0"/>
        <v>250.31710526315791</v>
      </c>
      <c r="F10" s="12">
        <f t="shared" si="1"/>
        <v>365</v>
      </c>
      <c r="G10" s="12">
        <f t="shared" si="2"/>
        <v>50</v>
      </c>
      <c r="H10" s="15">
        <f t="shared" si="3"/>
        <v>12515.855263157895</v>
      </c>
      <c r="I10" s="21">
        <f t="shared" si="4"/>
        <v>2886.6</v>
      </c>
      <c r="J10" s="15">
        <f t="shared" si="5"/>
        <v>9629.2552631578947</v>
      </c>
      <c r="K10" s="14">
        <v>645.03455621052649</v>
      </c>
      <c r="L10" s="15">
        <f t="shared" si="6"/>
        <v>13160.889819368422</v>
      </c>
      <c r="M10" s="13"/>
      <c r="N10" s="14">
        <f t="shared" si="7"/>
        <v>645.03455621052649</v>
      </c>
      <c r="O10" s="14">
        <f t="shared" si="8"/>
        <v>645.03455621052649</v>
      </c>
      <c r="P10" s="15">
        <f t="shared" si="9"/>
        <v>12515.855263157895</v>
      </c>
      <c r="Q10" s="32"/>
    </row>
    <row r="11" spans="1:17" ht="25.5" customHeight="1" x14ac:dyDescent="0.25">
      <c r="A11" s="31">
        <v>7</v>
      </c>
      <c r="B11" s="13" t="s">
        <v>235</v>
      </c>
      <c r="C11" s="13" t="s">
        <v>236</v>
      </c>
      <c r="D11" s="14">
        <v>5856.58</v>
      </c>
      <c r="E11" s="14">
        <f t="shared" si="0"/>
        <v>385.30131578947368</v>
      </c>
      <c r="F11" s="12">
        <f t="shared" si="1"/>
        <v>365</v>
      </c>
      <c r="G11" s="12">
        <f t="shared" si="2"/>
        <v>50</v>
      </c>
      <c r="H11" s="15">
        <f t="shared" si="3"/>
        <v>19265.065789473683</v>
      </c>
      <c r="I11" s="21">
        <f t="shared" si="4"/>
        <v>2886.6</v>
      </c>
      <c r="J11" s="15">
        <f t="shared" si="5"/>
        <v>16378.465789473683</v>
      </c>
      <c r="K11" s="14">
        <v>1936.2720336842112</v>
      </c>
      <c r="L11" s="15">
        <f t="shared" si="6"/>
        <v>21201.337823157894</v>
      </c>
      <c r="M11" s="13"/>
      <c r="N11" s="14">
        <f t="shared" si="7"/>
        <v>1936.2720336842112</v>
      </c>
      <c r="O11" s="14">
        <f t="shared" si="8"/>
        <v>1936.2720336842112</v>
      </c>
      <c r="P11" s="15">
        <f t="shared" si="9"/>
        <v>19265.065789473683</v>
      </c>
      <c r="Q11" s="32"/>
    </row>
    <row r="12" spans="1:17" ht="25.5" customHeight="1" x14ac:dyDescent="0.25">
      <c r="A12" s="31">
        <v>8</v>
      </c>
      <c r="B12" s="13" t="s">
        <v>237</v>
      </c>
      <c r="C12" s="13" t="s">
        <v>228</v>
      </c>
      <c r="D12" s="14">
        <v>2719.2000000000003</v>
      </c>
      <c r="E12" s="14">
        <f t="shared" si="0"/>
        <v>178.89473684210529</v>
      </c>
      <c r="F12" s="12">
        <f t="shared" si="1"/>
        <v>365</v>
      </c>
      <c r="G12" s="12">
        <f t="shared" si="2"/>
        <v>50</v>
      </c>
      <c r="H12" s="15">
        <f t="shared" si="3"/>
        <v>8944.7368421052652</v>
      </c>
      <c r="I12" s="21">
        <f t="shared" si="4"/>
        <v>2886.6</v>
      </c>
      <c r="J12" s="15">
        <f t="shared" si="5"/>
        <v>6058.1368421052648</v>
      </c>
      <c r="K12" s="14">
        <v>317.09298610526344</v>
      </c>
      <c r="L12" s="15">
        <f t="shared" si="6"/>
        <v>9261.8298282105279</v>
      </c>
      <c r="M12" s="13"/>
      <c r="N12" s="14">
        <f t="shared" si="7"/>
        <v>317.09298610526344</v>
      </c>
      <c r="O12" s="14">
        <f t="shared" si="8"/>
        <v>317.09298610526344</v>
      </c>
      <c r="P12" s="15">
        <f t="shared" si="9"/>
        <v>8944.7368421052652</v>
      </c>
      <c r="Q12" s="32"/>
    </row>
    <row r="13" spans="1:17" ht="25.5" customHeight="1" x14ac:dyDescent="0.25">
      <c r="A13" s="31">
        <v>9</v>
      </c>
      <c r="B13" s="13" t="s">
        <v>405</v>
      </c>
      <c r="C13" s="13" t="s">
        <v>406</v>
      </c>
      <c r="D13" s="14">
        <v>4343.42</v>
      </c>
      <c r="E13" s="14">
        <f t="shared" si="0"/>
        <v>285.75131578947372</v>
      </c>
      <c r="F13" s="12">
        <f t="shared" si="1"/>
        <v>365</v>
      </c>
      <c r="G13" s="12">
        <f t="shared" si="2"/>
        <v>50</v>
      </c>
      <c r="H13" s="15">
        <f t="shared" si="3"/>
        <v>14287.565789473687</v>
      </c>
      <c r="I13" s="21">
        <f t="shared" si="4"/>
        <v>2886.6</v>
      </c>
      <c r="J13" s="15">
        <f t="shared" si="5"/>
        <v>11400.965789473687</v>
      </c>
      <c r="K13" s="14">
        <v>1253.5618446315791</v>
      </c>
      <c r="L13" s="15">
        <f t="shared" si="6"/>
        <v>15541.127634105265</v>
      </c>
      <c r="M13" s="13"/>
      <c r="N13" s="14">
        <f t="shared" si="7"/>
        <v>1253.5618446315791</v>
      </c>
      <c r="O13" s="14">
        <f t="shared" si="8"/>
        <v>1253.5618446315791</v>
      </c>
      <c r="P13" s="15">
        <f t="shared" si="9"/>
        <v>14287.565789473687</v>
      </c>
      <c r="Q13" s="32"/>
    </row>
    <row r="14" spans="1:17" x14ac:dyDescent="0.25">
      <c r="A14" s="80"/>
      <c r="B14" s="33"/>
      <c r="C14" s="33"/>
      <c r="D14" s="81"/>
      <c r="E14" s="81"/>
      <c r="F14" s="27"/>
      <c r="G14" s="27"/>
      <c r="H14" s="35"/>
      <c r="I14" s="82"/>
      <c r="J14" s="35"/>
      <c r="K14" s="33"/>
      <c r="L14" s="33"/>
      <c r="M14" s="33"/>
      <c r="N14" s="33"/>
      <c r="O14" s="33"/>
      <c r="P14" s="33"/>
      <c r="Q14" s="20"/>
    </row>
    <row r="15" spans="1:17" x14ac:dyDescent="0.25">
      <c r="A15" s="126" t="s">
        <v>419</v>
      </c>
      <c r="B15" s="127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61"/>
    </row>
    <row r="16" spans="1:17" ht="25.5" customHeight="1" x14ac:dyDescent="0.25">
      <c r="A16" s="31">
        <v>1</v>
      </c>
      <c r="B16" s="13" t="s">
        <v>238</v>
      </c>
      <c r="C16" s="13" t="s">
        <v>239</v>
      </c>
      <c r="D16" s="14">
        <v>2160.94</v>
      </c>
      <c r="E16" s="14">
        <f>D16*2/30.4</f>
        <v>142.16710526315791</v>
      </c>
      <c r="F16" s="12">
        <f>31+28+31+30+31+30+31+31+30+31+30+31</f>
        <v>365</v>
      </c>
      <c r="G16" s="12">
        <f>F16*50/365</f>
        <v>50</v>
      </c>
      <c r="H16" s="15">
        <f>E16*G16</f>
        <v>7108.355263157895</v>
      </c>
      <c r="I16" s="21">
        <f t="shared" si="4"/>
        <v>2886.6</v>
      </c>
      <c r="J16" s="15">
        <f t="shared" si="5"/>
        <v>4221.7552631578947</v>
      </c>
      <c r="K16" s="14">
        <v>0</v>
      </c>
      <c r="L16" s="15">
        <f t="shared" ref="L16:L18" si="10">H16+K16</f>
        <v>7108.355263157895</v>
      </c>
      <c r="M16" s="13"/>
      <c r="N16" s="13">
        <f t="shared" ref="N16:N18" si="11">K16</f>
        <v>0</v>
      </c>
      <c r="O16" s="13">
        <f t="shared" ref="O16:O18" si="12">N16</f>
        <v>0</v>
      </c>
      <c r="P16" s="15">
        <f t="shared" ref="P16:P18" si="13">L16-O16</f>
        <v>7108.355263157895</v>
      </c>
      <c r="Q16" s="32"/>
    </row>
    <row r="17" spans="1:17" ht="25.5" customHeight="1" x14ac:dyDescent="0.25">
      <c r="A17" s="31">
        <v>2</v>
      </c>
      <c r="B17" s="13" t="s">
        <v>240</v>
      </c>
      <c r="C17" s="13" t="s">
        <v>241</v>
      </c>
      <c r="D17" s="14">
        <v>2967.4300000000003</v>
      </c>
      <c r="E17" s="14">
        <f>D17*2/30.4</f>
        <v>195.22565789473688</v>
      </c>
      <c r="F17" s="12">
        <f>31+28+31+30+31+30+31+31+30+31+30+31</f>
        <v>365</v>
      </c>
      <c r="G17" s="12">
        <f>F17*50/365</f>
        <v>50</v>
      </c>
      <c r="H17" s="15">
        <f>E17*G17</f>
        <v>9761.2828947368434</v>
      </c>
      <c r="I17" s="21">
        <f t="shared" si="4"/>
        <v>2886.6</v>
      </c>
      <c r="J17" s="15">
        <f t="shared" si="5"/>
        <v>6874.6828947368431</v>
      </c>
      <c r="K17" s="14">
        <v>0</v>
      </c>
      <c r="L17" s="15">
        <f t="shared" si="10"/>
        <v>9761.2828947368434</v>
      </c>
      <c r="M17" s="13"/>
      <c r="N17" s="13">
        <f t="shared" si="11"/>
        <v>0</v>
      </c>
      <c r="O17" s="13">
        <f t="shared" si="12"/>
        <v>0</v>
      </c>
      <c r="P17" s="15">
        <f t="shared" si="13"/>
        <v>9761.2828947368434</v>
      </c>
      <c r="Q17" s="32"/>
    </row>
    <row r="18" spans="1:17" ht="25.5" customHeight="1" thickBot="1" x14ac:dyDescent="0.3">
      <c r="A18" s="36">
        <v>3</v>
      </c>
      <c r="B18" s="37" t="s">
        <v>242</v>
      </c>
      <c r="C18" s="37" t="s">
        <v>243</v>
      </c>
      <c r="D18" s="38">
        <v>4950.18</v>
      </c>
      <c r="E18" s="38">
        <f>D18*2/30.4</f>
        <v>325.66973684210529</v>
      </c>
      <c r="F18" s="39">
        <f>31+28+31+30+31+30+31+31+30+31+30+31</f>
        <v>365</v>
      </c>
      <c r="G18" s="39">
        <f>F18*50/365</f>
        <v>50</v>
      </c>
      <c r="H18" s="41">
        <f>E18*G18</f>
        <v>16283.486842105265</v>
      </c>
      <c r="I18" s="47">
        <f t="shared" si="4"/>
        <v>2886.6</v>
      </c>
      <c r="J18" s="41">
        <f t="shared" si="5"/>
        <v>13396.886842105265</v>
      </c>
      <c r="K18" s="38">
        <v>888.36699747368493</v>
      </c>
      <c r="L18" s="41">
        <f t="shared" si="10"/>
        <v>17171.853839578951</v>
      </c>
      <c r="M18" s="37"/>
      <c r="N18" s="38">
        <f t="shared" si="11"/>
        <v>888.36699747368493</v>
      </c>
      <c r="O18" s="38">
        <f t="shared" si="12"/>
        <v>888.36699747368493</v>
      </c>
      <c r="P18" s="41">
        <f t="shared" si="13"/>
        <v>16283.486842105267</v>
      </c>
      <c r="Q18" s="42"/>
    </row>
    <row r="19" spans="1:17" ht="15.75" x14ac:dyDescent="0.25">
      <c r="A19" s="90" t="s">
        <v>421</v>
      </c>
      <c r="B19" s="90"/>
      <c r="C19" s="90"/>
      <c r="D19" s="63">
        <f>SUM(D5:D18)</f>
        <v>45121.12000000001</v>
      </c>
      <c r="E19" s="63">
        <f>SUM(E5:E18)</f>
        <v>2968.4947368421053</v>
      </c>
      <c r="F19" s="64"/>
      <c r="G19" s="64"/>
      <c r="H19" s="63">
        <f>SUM(H5:H18)</f>
        <v>148424.73684210528</v>
      </c>
      <c r="I19" s="64"/>
      <c r="J19" s="63">
        <f>SUM(J5:J18)</f>
        <v>113785.53684210528</v>
      </c>
      <c r="K19" s="63">
        <f>SUM(K5:K18)</f>
        <v>7858.6568837894765</v>
      </c>
      <c r="L19" s="63">
        <f>SUM(L5:L18)</f>
        <v>156283.39372589477</v>
      </c>
      <c r="M19" s="64"/>
      <c r="N19" s="63">
        <f>SUM(N5:N18)</f>
        <v>7858.6568837894765</v>
      </c>
      <c r="O19" s="63">
        <f>SUM(O5:O18)</f>
        <v>7858.6568837894765</v>
      </c>
      <c r="P19" s="63">
        <f>SUM(P5:P18)</f>
        <v>148424.73684210528</v>
      </c>
      <c r="Q19" s="62"/>
    </row>
    <row r="28" spans="1:17" x14ac:dyDescent="0.25">
      <c r="B28" s="67" t="s">
        <v>423</v>
      </c>
      <c r="E28" s="110" t="s">
        <v>425</v>
      </c>
      <c r="F28" s="110"/>
      <c r="G28" s="110"/>
      <c r="H28" s="110"/>
      <c r="P28" s="110" t="s">
        <v>427</v>
      </c>
      <c r="Q28" s="110"/>
    </row>
    <row r="29" spans="1:17" x14ac:dyDescent="0.25">
      <c r="B29" s="68" t="s">
        <v>424</v>
      </c>
      <c r="E29" s="111" t="s">
        <v>426</v>
      </c>
      <c r="F29" s="111"/>
      <c r="G29" s="111"/>
      <c r="H29" s="111"/>
      <c r="P29" s="111" t="s">
        <v>428</v>
      </c>
      <c r="Q29" s="111"/>
    </row>
  </sheetData>
  <mergeCells count="9">
    <mergeCell ref="E28:H28"/>
    <mergeCell ref="E29:H29"/>
    <mergeCell ref="P28:Q28"/>
    <mergeCell ref="P29:Q29"/>
    <mergeCell ref="A1:Q1"/>
    <mergeCell ref="A2:Q2"/>
    <mergeCell ref="A4:B4"/>
    <mergeCell ref="A15:B15"/>
    <mergeCell ref="A19:C19"/>
  </mergeCells>
  <pageMargins left="0.7" right="0.7" top="0.75" bottom="0.75" header="0.3" footer="0.3"/>
  <pageSetup paperSize="14" scale="6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Aguinaldo Regidores 2022</vt:lpstr>
      <vt:lpstr>Regidores</vt:lpstr>
      <vt:lpstr>Aguinaldo Base 2022</vt:lpstr>
      <vt:lpstr>Base</vt:lpstr>
      <vt:lpstr>Aguinaldo Eventual 2022</vt:lpstr>
      <vt:lpstr>Eventual </vt:lpstr>
      <vt:lpstr>Aguinaldo SP y PC 2022</vt:lpstr>
      <vt:lpstr>SP Y PC </vt:lpstr>
      <vt:lpstr>Aguinaldo Pensionados 2022</vt:lpstr>
      <vt:lpstr>Pensionados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Alexander Núñez</cp:lastModifiedBy>
  <cp:lastPrinted>2022-12-16T16:59:07Z</cp:lastPrinted>
  <dcterms:created xsi:type="dcterms:W3CDTF">2022-08-23T17:24:30Z</dcterms:created>
  <dcterms:modified xsi:type="dcterms:W3CDTF">2023-08-10T01:05:34Z</dcterms:modified>
</cp:coreProperties>
</file>