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E:\NOMINAS 2021\Nominas del mes de Julio 2021\"/>
    </mc:Choice>
  </mc:AlternateContent>
  <xr:revisionPtr revIDLastSave="0" documentId="13_ncr:1_{321B92C5-82BB-47F9-812A-AE002DB2527B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REGIDORES" sheetId="5" r:id="rId1"/>
    <sheet name="BASE" sheetId="2" r:id="rId2"/>
    <sheet name="SEGU-PBCA" sheetId="6" r:id="rId3"/>
    <sheet name="P-CIVIL" sheetId="4" r:id="rId4"/>
    <sheet name="NOMINA TRAB.EVENTUALES" sheetId="3" r:id="rId5"/>
    <sheet name="PAGO SEMANAL" sheetId="9" state="hidden" r:id="rId6"/>
    <sheet name="PENSION POR JUBILACION" sheetId="16" r:id="rId7"/>
    <sheet name="NOMINA PENSIONADOS" sheetId="11" r:id="rId8"/>
    <sheet name="NOMINA ORD. DE PAGO QUINCENAL" sheetId="14" r:id="rId9"/>
    <sheet name="PAGO TRAB.MENSUALES" sheetId="8" state="hidden" r:id="rId10"/>
    <sheet name="CASA DE CULTURA " sheetId="15" state="hidden" r:id="rId11"/>
    <sheet name="TOTAL DE PAGOS 2DAQUIN.OCTUBRE" sheetId="13" state="hidden" r:id="rId12"/>
  </sheets>
  <definedNames>
    <definedName name="_xlnm.Print_Area" localSheetId="1">BASE!$B$2:$N$191</definedName>
    <definedName name="_xlnm.Print_Area" localSheetId="10">'CASA DE CULTURA '!$B$1:$O$18</definedName>
    <definedName name="_xlnm.Print_Area" localSheetId="8">'NOMINA ORD. DE PAGO QUINCENAL'!$B$1:$L$79</definedName>
    <definedName name="_xlnm.Print_Area" localSheetId="7">'NOMINA PENSIONADOS'!$B$2:$L$20</definedName>
    <definedName name="_xlnm.Print_Area" localSheetId="4">'NOMINA TRAB.EVENTUALES'!$A$2:$S$38</definedName>
    <definedName name="_xlnm.Print_Area" localSheetId="9">'PAGO TRAB.MENSUALES'!$B$1:$K$42</definedName>
    <definedName name="_xlnm.Print_Area" localSheetId="3">'P-CIVIL'!$A$1:$Q$32</definedName>
    <definedName name="_xlnm.Print_Area" localSheetId="6">'PENSION POR JUBILACION'!$B$2:$K$21</definedName>
    <definedName name="_xlnm.Print_Area" localSheetId="0">REGIDORES!$B$2:$M$24</definedName>
    <definedName name="_xlnm.Print_Area" localSheetId="2">'SEGU-PBCA'!$B$2:$Q$46</definedName>
    <definedName name="_xlnm.Print_Area" localSheetId="11">'TOTAL DE PAGOS 2DAQUIN.OCTUBRE'!$A$2:$B$21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4" i="2" l="1"/>
  <c r="L24" i="2"/>
  <c r="K24" i="2"/>
  <c r="H24" i="2"/>
  <c r="F24" i="2"/>
  <c r="L23" i="2"/>
  <c r="N37" i="6" l="1"/>
  <c r="K37" i="6"/>
  <c r="P37" i="6"/>
  <c r="I37" i="6"/>
  <c r="K70" i="14"/>
  <c r="K63" i="14"/>
  <c r="K72" i="14"/>
  <c r="I63" i="14"/>
  <c r="J27" i="4"/>
  <c r="O37" i="6"/>
  <c r="H186" i="2"/>
  <c r="L186" i="2"/>
  <c r="F186" i="2"/>
  <c r="P27" i="4" l="1"/>
  <c r="O27" i="4"/>
  <c r="N27" i="4"/>
  <c r="L27" i="4"/>
  <c r="O26" i="4"/>
  <c r="P26" i="4"/>
  <c r="L26" i="4"/>
  <c r="I70" i="14"/>
  <c r="K61" i="14" l="1"/>
  <c r="K33" i="3"/>
  <c r="L33" i="3"/>
  <c r="N33" i="3"/>
  <c r="P33" i="3"/>
  <c r="B14" i="3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M23" i="2" l="1"/>
  <c r="M186" i="2" s="1"/>
  <c r="L13" i="15" l="1"/>
  <c r="K13" i="15"/>
  <c r="J13" i="15"/>
  <c r="H13" i="15"/>
  <c r="I13" i="15"/>
  <c r="J34" i="8"/>
  <c r="J32" i="8"/>
  <c r="J29" i="8"/>
  <c r="J20" i="8"/>
  <c r="L11" i="15" l="1"/>
  <c r="L12" i="15"/>
  <c r="L10" i="15"/>
  <c r="K21" i="14" l="1"/>
  <c r="K60" i="14" l="1"/>
  <c r="O22" i="6" l="1"/>
  <c r="K22" i="6"/>
  <c r="G22" i="6"/>
  <c r="O14" i="6"/>
  <c r="P14" i="6" s="1"/>
  <c r="G14" i="6"/>
  <c r="K16" i="6"/>
  <c r="P22" i="6" l="1"/>
  <c r="G9" i="14" l="1"/>
  <c r="H9" i="14"/>
  <c r="K9" i="14"/>
  <c r="B10" i="14"/>
  <c r="G10" i="14"/>
  <c r="H10" i="14"/>
  <c r="K10" i="14"/>
  <c r="B11" i="14"/>
  <c r="G11" i="14"/>
  <c r="H11" i="14"/>
  <c r="K11" i="14"/>
  <c r="H13" i="14"/>
  <c r="K13" i="14"/>
  <c r="H14" i="14"/>
  <c r="K14" i="14"/>
  <c r="H16" i="14"/>
  <c r="K16" i="14"/>
  <c r="H17" i="14"/>
  <c r="K17" i="14"/>
  <c r="H18" i="14"/>
  <c r="K18" i="14"/>
  <c r="H19" i="14"/>
  <c r="K19" i="14"/>
  <c r="G20" i="14"/>
  <c r="H20" i="14"/>
  <c r="K20" i="14"/>
  <c r="G22" i="14"/>
  <c r="G23" i="14" s="1"/>
  <c r="G24" i="14" s="1"/>
  <c r="G25" i="14" s="1"/>
  <c r="G26" i="14" s="1"/>
  <c r="G27" i="14" s="1"/>
  <c r="H22" i="14"/>
  <c r="K22" i="14"/>
  <c r="H23" i="14"/>
  <c r="K23" i="14"/>
  <c r="H24" i="14"/>
  <c r="K24" i="14"/>
  <c r="H25" i="14"/>
  <c r="K25" i="14"/>
  <c r="H26" i="14"/>
  <c r="K26" i="14"/>
  <c r="H27" i="14"/>
  <c r="K27" i="14"/>
  <c r="G29" i="14"/>
  <c r="G31" i="14" s="1"/>
  <c r="H29" i="14"/>
  <c r="K29" i="14"/>
  <c r="H31" i="14"/>
  <c r="K31" i="14"/>
  <c r="H32" i="14"/>
  <c r="K32" i="14"/>
  <c r="H34" i="14"/>
  <c r="K34" i="14"/>
  <c r="H35" i="14"/>
  <c r="K35" i="14"/>
  <c r="H36" i="14"/>
  <c r="K36" i="14"/>
  <c r="H38" i="14"/>
  <c r="K38" i="14"/>
  <c r="G39" i="14"/>
  <c r="H39" i="14"/>
  <c r="K39" i="14"/>
  <c r="K58" i="14" l="1"/>
  <c r="K59" i="14"/>
  <c r="B12" i="14"/>
  <c r="B13" i="14" s="1"/>
  <c r="B14" i="14" s="1"/>
  <c r="J24" i="2"/>
  <c r="K57" i="14" l="1"/>
  <c r="L22" i="2" l="1"/>
  <c r="H22" i="2"/>
  <c r="L43" i="2"/>
  <c r="H43" i="2"/>
  <c r="M43" i="2" l="1"/>
  <c r="M22" i="2"/>
  <c r="K18" i="5" l="1"/>
  <c r="J18" i="5"/>
  <c r="G18" i="5"/>
  <c r="L18" i="5"/>
  <c r="J10" i="16"/>
  <c r="J16" i="16" s="1"/>
  <c r="J14" i="16"/>
  <c r="K14" i="11"/>
  <c r="I72" i="14"/>
  <c r="L8" i="5" l="1"/>
  <c r="K8" i="5"/>
  <c r="F34" i="2"/>
  <c r="K34" i="2"/>
  <c r="L32" i="2"/>
  <c r="H32" i="2"/>
  <c r="E32" i="2"/>
  <c r="M32" i="2" l="1"/>
  <c r="K56" i="14"/>
  <c r="J9" i="2" l="1"/>
  <c r="J156" i="2"/>
  <c r="O15" i="6" l="1"/>
  <c r="P15" i="6" s="1"/>
  <c r="O16" i="6"/>
  <c r="O17" i="6"/>
  <c r="K9" i="2" l="1"/>
  <c r="F9" i="2"/>
  <c r="K166" i="2" l="1"/>
  <c r="F166" i="2"/>
  <c r="F18" i="5"/>
  <c r="J46" i="2" l="1"/>
  <c r="E8" i="2" l="1"/>
  <c r="H8" i="2"/>
  <c r="L8" i="2"/>
  <c r="H33" i="2"/>
  <c r="H34" i="2" s="1"/>
  <c r="M8" i="2" l="1"/>
  <c r="K55" i="14" l="1"/>
  <c r="K54" i="14"/>
  <c r="L119" i="2" l="1"/>
  <c r="O13" i="4" l="1"/>
  <c r="O14" i="4"/>
  <c r="O15" i="4"/>
  <c r="O16" i="4"/>
  <c r="O17" i="4"/>
  <c r="O18" i="4"/>
  <c r="O19" i="4"/>
  <c r="O20" i="4"/>
  <c r="O21" i="4"/>
  <c r="O22" i="4"/>
  <c r="O23" i="4"/>
  <c r="O24" i="4"/>
  <c r="O25" i="4"/>
  <c r="O12" i="4"/>
  <c r="O13" i="6"/>
  <c r="O18" i="6"/>
  <c r="O19" i="6"/>
  <c r="O20" i="6"/>
  <c r="O21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12" i="6"/>
  <c r="B13" i="6" l="1"/>
  <c r="B18" i="6" l="1"/>
  <c r="B19" i="6" s="1"/>
  <c r="B20" i="6" s="1"/>
  <c r="B21" i="6" s="1"/>
  <c r="B24" i="6"/>
  <c r="B25" i="6" s="1"/>
  <c r="B26" i="6" s="1"/>
  <c r="B27" i="6" s="1"/>
  <c r="B28" i="6" s="1"/>
  <c r="B29" i="6" s="1"/>
  <c r="B30" i="6" s="1"/>
  <c r="B31" i="6" s="1"/>
  <c r="B32" i="6" l="1"/>
  <c r="B33" i="6" s="1"/>
  <c r="B34" i="6" s="1"/>
  <c r="K35" i="6"/>
  <c r="P35" i="6" s="1"/>
  <c r="M37" i="6" l="1"/>
  <c r="K34" i="6"/>
  <c r="P34" i="6" s="1"/>
  <c r="B15" i="14" l="1"/>
  <c r="B16" i="14" s="1"/>
  <c r="B17" i="14" s="1"/>
  <c r="B18" i="14" s="1"/>
  <c r="B19" i="14" s="1"/>
  <c r="B20" i="14" s="1"/>
  <c r="B23" i="14" s="1"/>
  <c r="B24" i="14" s="1"/>
  <c r="B25" i="14" s="1"/>
  <c r="B26" i="14" s="1"/>
  <c r="B27" i="14" s="1"/>
  <c r="K9" i="11"/>
  <c r="B28" i="14" l="1"/>
  <c r="B29" i="14" s="1"/>
  <c r="L25" i="4"/>
  <c r="P25" i="4" s="1"/>
  <c r="B30" i="14" l="1"/>
  <c r="G14" i="11"/>
  <c r="F14" i="16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L13" i="4"/>
  <c r="L14" i="4"/>
  <c r="P14" i="4" s="1"/>
  <c r="L15" i="4"/>
  <c r="P15" i="4" s="1"/>
  <c r="L16" i="4"/>
  <c r="P16" i="4" s="1"/>
  <c r="L17" i="4"/>
  <c r="P17" i="4" s="1"/>
  <c r="L18" i="4"/>
  <c r="P18" i="4" s="1"/>
  <c r="L19" i="4"/>
  <c r="P19" i="4" s="1"/>
  <c r="L20" i="4"/>
  <c r="P20" i="4" s="1"/>
  <c r="L21" i="4"/>
  <c r="P21" i="4" s="1"/>
  <c r="L22" i="4"/>
  <c r="P22" i="4" s="1"/>
  <c r="L23" i="4"/>
  <c r="P23" i="4" s="1"/>
  <c r="L24" i="4"/>
  <c r="P24" i="4" s="1"/>
  <c r="K17" i="6"/>
  <c r="P17" i="6" s="1"/>
  <c r="K18" i="6"/>
  <c r="P18" i="6" s="1"/>
  <c r="K19" i="6"/>
  <c r="P19" i="6" s="1"/>
  <c r="K20" i="6"/>
  <c r="P20" i="6" s="1"/>
  <c r="K21" i="6"/>
  <c r="P21" i="6" s="1"/>
  <c r="K23" i="6"/>
  <c r="P23" i="6" s="1"/>
  <c r="K24" i="6"/>
  <c r="P24" i="6" s="1"/>
  <c r="K25" i="6"/>
  <c r="P25" i="6" s="1"/>
  <c r="K26" i="6"/>
  <c r="P26" i="6" s="1"/>
  <c r="K27" i="6"/>
  <c r="P27" i="6" s="1"/>
  <c r="K28" i="6"/>
  <c r="P28" i="6" s="1"/>
  <c r="K29" i="6"/>
  <c r="P29" i="6" s="1"/>
  <c r="K30" i="6"/>
  <c r="P30" i="6" s="1"/>
  <c r="K31" i="6"/>
  <c r="P31" i="6" s="1"/>
  <c r="K32" i="6"/>
  <c r="P32" i="6" s="1"/>
  <c r="K33" i="6"/>
  <c r="P33" i="6" s="1"/>
  <c r="K36" i="6"/>
  <c r="P36" i="6" s="1"/>
  <c r="B31" i="14" l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P13" i="4"/>
  <c r="D9" i="9" l="1"/>
  <c r="E9" i="9" s="1"/>
  <c r="G9" i="9" s="1"/>
  <c r="D10" i="9"/>
  <c r="E10" i="9" s="1"/>
  <c r="G10" i="9" s="1"/>
  <c r="D8" i="9"/>
  <c r="E8" i="9" s="1"/>
  <c r="G8" i="9" s="1"/>
  <c r="G11" i="9" l="1"/>
  <c r="L38" i="2" l="1"/>
  <c r="F10" i="16" l="1"/>
  <c r="F16" i="16" s="1"/>
  <c r="Q11" i="3"/>
  <c r="K16" i="5"/>
  <c r="L16" i="5" s="1"/>
  <c r="J63" i="14" l="1"/>
  <c r="K53" i="14"/>
  <c r="J13" i="16" l="1"/>
  <c r="N13" i="16" l="1"/>
  <c r="L177" i="2"/>
  <c r="B13" i="4"/>
  <c r="B14" i="4" s="1"/>
  <c r="B15" i="4" s="1"/>
  <c r="B16" i="4" s="1"/>
  <c r="B17" i="4" s="1"/>
  <c r="B18" i="4" s="1"/>
  <c r="B19" i="4" s="1"/>
  <c r="B20" i="4" s="1"/>
  <c r="N10" i="16"/>
  <c r="N11" i="16" s="1"/>
  <c r="N12" i="16" s="1"/>
  <c r="J12" i="16"/>
  <c r="G14" i="16"/>
  <c r="G10" i="16"/>
  <c r="G16" i="16" s="1"/>
  <c r="R28" i="16"/>
  <c r="H16" i="16"/>
  <c r="E16" i="16"/>
  <c r="I12" i="16"/>
  <c r="I14" i="16" s="1"/>
  <c r="I9" i="16"/>
  <c r="J9" i="16"/>
  <c r="I8" i="16"/>
  <c r="L133" i="2"/>
  <c r="L60" i="2"/>
  <c r="L51" i="2"/>
  <c r="I10" i="16" l="1"/>
  <c r="I16" i="16" s="1"/>
  <c r="J23" i="16"/>
  <c r="J8" i="16"/>
  <c r="J24" i="16" l="1"/>
  <c r="M13" i="15" l="1"/>
  <c r="I9" i="15"/>
  <c r="L9" i="15" s="1"/>
  <c r="N9" i="15" s="1"/>
  <c r="I8" i="15"/>
  <c r="L8" i="15" s="1"/>
  <c r="N8" i="15" s="1"/>
  <c r="I7" i="15"/>
  <c r="L20" i="15" l="1"/>
  <c r="L7" i="15"/>
  <c r="N7" i="15" l="1"/>
  <c r="N13" i="15" s="1"/>
  <c r="L21" i="15" l="1"/>
  <c r="N20" i="15"/>
  <c r="L24" i="13" l="1"/>
  <c r="B15" i="13"/>
  <c r="B10" i="13"/>
  <c r="B11" i="13"/>
  <c r="C17" i="13"/>
  <c r="B17" i="13" s="1"/>
  <c r="K52" i="14" l="1"/>
  <c r="K51" i="14" l="1"/>
  <c r="C14" i="13" l="1"/>
  <c r="B14" i="13" s="1"/>
  <c r="K50" i="14"/>
  <c r="K49" i="14" l="1"/>
  <c r="K48" i="14"/>
  <c r="K47" i="14" l="1"/>
  <c r="K46" i="14" l="1"/>
  <c r="J14" i="3" l="1"/>
  <c r="H45" i="14"/>
  <c r="J21" i="3"/>
  <c r="E149" i="2"/>
  <c r="E119" i="2"/>
  <c r="K12" i="11" l="1"/>
  <c r="K13" i="11"/>
  <c r="K10" i="11"/>
  <c r="G24" i="6" l="1"/>
  <c r="H69" i="14" l="1"/>
  <c r="H68" i="14"/>
  <c r="H67" i="14"/>
  <c r="H66" i="14"/>
  <c r="H65" i="14"/>
  <c r="H44" i="14"/>
  <c r="H43" i="14"/>
  <c r="H42" i="14"/>
  <c r="H37" i="14"/>
  <c r="H33" i="14"/>
  <c r="H30" i="14"/>
  <c r="H28" i="14"/>
  <c r="H15" i="14"/>
  <c r="H12" i="14"/>
  <c r="J32" i="3"/>
  <c r="J31" i="3"/>
  <c r="J30" i="3"/>
  <c r="J29" i="3"/>
  <c r="J28" i="3"/>
  <c r="J27" i="3"/>
  <c r="J26" i="3"/>
  <c r="J25" i="3"/>
  <c r="J24" i="3"/>
  <c r="J23" i="3"/>
  <c r="J22" i="3"/>
  <c r="Q20" i="3"/>
  <c r="R20" i="3" s="1"/>
  <c r="J20" i="3"/>
  <c r="J19" i="3"/>
  <c r="J18" i="3"/>
  <c r="J17" i="3"/>
  <c r="J16" i="3"/>
  <c r="J13" i="3"/>
  <c r="J12" i="3"/>
  <c r="M11" i="3"/>
  <c r="J11" i="3"/>
  <c r="H22" i="4"/>
  <c r="H21" i="4"/>
  <c r="H14" i="4"/>
  <c r="H15" i="4"/>
  <c r="H16" i="4"/>
  <c r="H17" i="4"/>
  <c r="H18" i="4"/>
  <c r="H19" i="4"/>
  <c r="H20" i="4"/>
  <c r="H12" i="4"/>
  <c r="G36" i="6"/>
  <c r="G27" i="6"/>
  <c r="G26" i="6"/>
  <c r="G23" i="6"/>
  <c r="G21" i="6"/>
  <c r="G20" i="6"/>
  <c r="G19" i="6"/>
  <c r="G18" i="6"/>
  <c r="G17" i="6"/>
  <c r="G16" i="6"/>
  <c r="G13" i="6"/>
  <c r="G12" i="6"/>
  <c r="E17" i="2"/>
  <c r="E13" i="2"/>
  <c r="E12" i="2"/>
  <c r="E7" i="2"/>
  <c r="E182" i="2"/>
  <c r="R11" i="3" l="1"/>
  <c r="M33" i="3"/>
  <c r="H177" i="2"/>
  <c r="M177" i="2" s="1"/>
  <c r="E177" i="2"/>
  <c r="E171" i="2"/>
  <c r="H171" i="2" s="1"/>
  <c r="E164" i="2"/>
  <c r="H164" i="2" s="1"/>
  <c r="H166" i="2" s="1"/>
  <c r="H155" i="2"/>
  <c r="E155" i="2"/>
  <c r="E150" i="2"/>
  <c r="H150" i="2" s="1"/>
  <c r="H149" i="2"/>
  <c r="E137" i="2"/>
  <c r="E136" i="2"/>
  <c r="E135" i="2"/>
  <c r="E134" i="2"/>
  <c r="E133" i="2"/>
  <c r="E132" i="2"/>
  <c r="E131" i="2"/>
  <c r="H131" i="2" s="1"/>
  <c r="H119" i="2"/>
  <c r="E118" i="2"/>
  <c r="E113" i="2"/>
  <c r="H113" i="2" s="1"/>
  <c r="H112" i="2" l="1"/>
  <c r="E112" i="2"/>
  <c r="E111" i="2" l="1"/>
  <c r="E110" i="2"/>
  <c r="H110" i="2" s="1"/>
  <c r="E109" i="2"/>
  <c r="H109" i="2" s="1"/>
  <c r="E100" i="2"/>
  <c r="H100" i="2" s="1"/>
  <c r="E90" i="2"/>
  <c r="H90" i="2" s="1"/>
  <c r="H89" i="2"/>
  <c r="E89" i="2"/>
  <c r="E88" i="2"/>
  <c r="H88" i="2" s="1"/>
  <c r="E87" i="2"/>
  <c r="H87" i="2" s="1"/>
  <c r="E86" i="2"/>
  <c r="H86" i="2" s="1"/>
  <c r="E85" i="2"/>
  <c r="H85" i="2" s="1"/>
  <c r="E84" i="2"/>
  <c r="H84" i="2" s="1"/>
  <c r="E73" i="2"/>
  <c r="H73" i="2" s="1"/>
  <c r="L68" i="2"/>
  <c r="E68" i="2"/>
  <c r="H68" i="2" s="1"/>
  <c r="E67" i="2"/>
  <c r="H67" i="2" s="1"/>
  <c r="E95" i="2"/>
  <c r="H95" i="2" s="1"/>
  <c r="E66" i="2"/>
  <c r="E61" i="2"/>
  <c r="H61" i="2" s="1"/>
  <c r="E60" i="2"/>
  <c r="H60" i="2" s="1"/>
  <c r="M60" i="2" s="1"/>
  <c r="K52" i="2"/>
  <c r="E51" i="2"/>
  <c r="H51" i="2" s="1"/>
  <c r="M51" i="2" s="1"/>
  <c r="E50" i="2"/>
  <c r="H50" i="2" s="1"/>
  <c r="E45" i="2"/>
  <c r="H45" i="2" s="1"/>
  <c r="E44" i="2"/>
  <c r="H44" i="2" s="1"/>
  <c r="E38" i="2"/>
  <c r="H38" i="2" s="1"/>
  <c r="E37" i="2"/>
  <c r="H37" i="2" s="1"/>
  <c r="E33" i="2"/>
  <c r="H17" i="2"/>
  <c r="H13" i="2"/>
  <c r="H12" i="2"/>
  <c r="M68" i="2" l="1"/>
  <c r="H7" i="2"/>
  <c r="H9" i="2" s="1"/>
  <c r="K44" i="14" l="1"/>
  <c r="K43" i="14" l="1"/>
  <c r="K45" i="14" l="1"/>
  <c r="J120" i="2" l="1"/>
  <c r="H17" i="13" l="1"/>
  <c r="H18" i="13" s="1"/>
  <c r="O33" i="3" l="1"/>
  <c r="J70" i="14" l="1"/>
  <c r="J72" i="14" s="1"/>
  <c r="K120" i="2" l="1"/>
  <c r="F120" i="2"/>
  <c r="H118" i="2"/>
  <c r="L118" i="2"/>
  <c r="H120" i="2" l="1"/>
  <c r="M118" i="2"/>
  <c r="K66" i="14" l="1"/>
  <c r="K67" i="14"/>
  <c r="K68" i="14"/>
  <c r="K69" i="14"/>
  <c r="K65" i="14"/>
  <c r="K12" i="14"/>
  <c r="K15" i="14"/>
  <c r="K28" i="14"/>
  <c r="K30" i="14"/>
  <c r="K33" i="14"/>
  <c r="K37" i="14"/>
  <c r="K40" i="14"/>
  <c r="K41" i="14"/>
  <c r="K42" i="14"/>
  <c r="C13" i="13"/>
  <c r="B13" i="13" s="1"/>
  <c r="K80" i="14" l="1"/>
  <c r="K81" i="14" l="1"/>
  <c r="U33" i="3"/>
  <c r="H46" i="2" l="1"/>
  <c r="K46" i="2"/>
  <c r="G183" i="2" l="1"/>
  <c r="J183" i="2"/>
  <c r="G178" i="2"/>
  <c r="K91" i="2" l="1"/>
  <c r="L90" i="2"/>
  <c r="M90" i="2" s="1"/>
  <c r="H91" i="2"/>
  <c r="G91" i="2"/>
  <c r="F91" i="2"/>
  <c r="H111" i="2" l="1"/>
  <c r="L9" i="5" l="1"/>
  <c r="L10" i="5"/>
  <c r="L11" i="5"/>
  <c r="L12" i="5"/>
  <c r="L13" i="5"/>
  <c r="L14" i="5"/>
  <c r="L15" i="5"/>
  <c r="L17" i="5"/>
  <c r="I18" i="5"/>
  <c r="J14" i="2" l="1"/>
  <c r="J18" i="2"/>
  <c r="J34" i="2"/>
  <c r="J39" i="2"/>
  <c r="J52" i="2"/>
  <c r="J62" i="2"/>
  <c r="J69" i="2"/>
  <c r="J74" i="2"/>
  <c r="J91" i="2"/>
  <c r="J96" i="2"/>
  <c r="J101" i="2"/>
  <c r="J114" i="2"/>
  <c r="J138" i="2"/>
  <c r="J151" i="2"/>
  <c r="J166" i="2"/>
  <c r="J172" i="2"/>
  <c r="J178" i="2"/>
  <c r="J186" i="2" l="1"/>
  <c r="H182" i="2"/>
  <c r="H183" i="2" s="1"/>
  <c r="F183" i="2"/>
  <c r="K183" i="2"/>
  <c r="L182" i="2"/>
  <c r="L183" i="2" l="1"/>
  <c r="M182" i="2"/>
  <c r="M183" i="2" s="1"/>
  <c r="O183" i="2" s="1"/>
  <c r="L37" i="6"/>
  <c r="E13" i="13" l="1"/>
  <c r="F14" i="13"/>
  <c r="K62" i="2" l="1"/>
  <c r="K69" i="2"/>
  <c r="K172" i="2"/>
  <c r="K178" i="2"/>
  <c r="C12" i="13" l="1"/>
  <c r="B12" i="13" s="1"/>
  <c r="D18" i="5" l="1"/>
  <c r="P2" i="2" l="1"/>
  <c r="P3" i="2"/>
  <c r="P4" i="2"/>
  <c r="K156" i="2"/>
  <c r="K151" i="2"/>
  <c r="K138" i="2"/>
  <c r="K114" i="2"/>
  <c r="K101" i="2"/>
  <c r="K96" i="2"/>
  <c r="K74" i="2"/>
  <c r="H69" i="2"/>
  <c r="K39" i="2"/>
  <c r="K18" i="2"/>
  <c r="K14" i="2"/>
  <c r="I178" i="2"/>
  <c r="L178" i="2"/>
  <c r="F14" i="2"/>
  <c r="H14" i="2"/>
  <c r="I14" i="2"/>
  <c r="K12" i="6"/>
  <c r="P12" i="6" s="1"/>
  <c r="Q16" i="3"/>
  <c r="R16" i="3" s="1"/>
  <c r="L44" i="2"/>
  <c r="M44" i="2" s="1"/>
  <c r="K186" i="2" l="1"/>
  <c r="C8" i="13"/>
  <c r="B8" i="13" s="1"/>
  <c r="L27" i="5"/>
  <c r="L28" i="5" s="1"/>
  <c r="H178" i="2"/>
  <c r="O178" i="2" s="1"/>
  <c r="H172" i="2"/>
  <c r="H156" i="2"/>
  <c r="H151" i="2"/>
  <c r="H114" i="2"/>
  <c r="H101" i="2"/>
  <c r="H96" i="2"/>
  <c r="H74" i="2"/>
  <c r="H62" i="2"/>
  <c r="H52" i="2"/>
  <c r="H39" i="2"/>
  <c r="H18" i="2"/>
  <c r="F178" i="2" l="1"/>
  <c r="F46" i="2"/>
  <c r="F18" i="2"/>
  <c r="F62" i="2" l="1"/>
  <c r="M178" i="2"/>
  <c r="P178" i="2" l="1"/>
  <c r="E8" i="13"/>
  <c r="M27" i="4"/>
  <c r="U18" i="6" l="1"/>
  <c r="V18" i="6" s="1"/>
  <c r="U21" i="6"/>
  <c r="V21" i="6" s="1"/>
  <c r="G65" i="14" l="1"/>
  <c r="G12" i="14" s="1"/>
  <c r="G13" i="14" l="1"/>
  <c r="G14" i="14" s="1"/>
  <c r="G15" i="14" s="1"/>
  <c r="G66" i="14" s="1"/>
  <c r="G67" i="14" s="1"/>
  <c r="G16" i="14" s="1"/>
  <c r="G17" i="14" s="1"/>
  <c r="G18" i="14" s="1"/>
  <c r="G19" i="14" s="1"/>
  <c r="G28" i="14"/>
  <c r="G68" i="14"/>
  <c r="F17" i="13"/>
  <c r="F18" i="13" s="1"/>
  <c r="G33" i="14" l="1"/>
  <c r="G34" i="14" s="1"/>
  <c r="G35" i="14" s="1"/>
  <c r="G36" i="14" s="1"/>
  <c r="G37" i="14" s="1"/>
  <c r="G32" i="14"/>
  <c r="G69" i="14"/>
  <c r="I166" i="2" l="1"/>
  <c r="G166" i="2"/>
  <c r="A73" i="13" l="1"/>
  <c r="L164" i="2" l="1"/>
  <c r="L166" i="2" s="1"/>
  <c r="L171" i="2"/>
  <c r="F172" i="2"/>
  <c r="G172" i="2"/>
  <c r="I172" i="2"/>
  <c r="O166" i="2" l="1"/>
  <c r="M164" i="2"/>
  <c r="M166" i="2" s="1"/>
  <c r="L172" i="2"/>
  <c r="O172" i="2" s="1"/>
  <c r="M171" i="2"/>
  <c r="R26" i="11"/>
  <c r="I14" i="11"/>
  <c r="H14" i="11"/>
  <c r="F14" i="11"/>
  <c r="D14" i="11"/>
  <c r="J13" i="11"/>
  <c r="J12" i="11"/>
  <c r="K11" i="11"/>
  <c r="J11" i="11"/>
  <c r="J10" i="11"/>
  <c r="J9" i="11"/>
  <c r="K8" i="11"/>
  <c r="J8" i="11"/>
  <c r="K21" i="11" l="1"/>
  <c r="C16" i="13"/>
  <c r="B16" i="13" s="1"/>
  <c r="M172" i="2"/>
  <c r="P166" i="2"/>
  <c r="J14" i="11"/>
  <c r="P172" i="2" l="1"/>
  <c r="K22" i="11"/>
  <c r="C11" i="9"/>
  <c r="G15" i="13" l="1"/>
  <c r="G18" i="13" l="1"/>
  <c r="S30" i="5" l="1"/>
  <c r="J37" i="6" l="1"/>
  <c r="P16" i="6" l="1"/>
  <c r="K13" i="6"/>
  <c r="P13" i="6" s="1"/>
  <c r="H18" i="5"/>
  <c r="K17" i="5"/>
  <c r="K15" i="5"/>
  <c r="K14" i="5"/>
  <c r="K13" i="5"/>
  <c r="K12" i="5"/>
  <c r="K11" i="5"/>
  <c r="K10" i="5"/>
  <c r="K9" i="5"/>
  <c r="K27" i="4"/>
  <c r="L12" i="4"/>
  <c r="Q32" i="3"/>
  <c r="R32" i="3" s="1"/>
  <c r="I32" i="3"/>
  <c r="Q31" i="3"/>
  <c r="I31" i="3"/>
  <c r="Q30" i="3"/>
  <c r="R30" i="3" s="1"/>
  <c r="I30" i="3"/>
  <c r="Q29" i="3"/>
  <c r="R29" i="3" s="1"/>
  <c r="I29" i="3"/>
  <c r="Q28" i="3"/>
  <c r="R28" i="3" s="1"/>
  <c r="I28" i="3"/>
  <c r="Q27" i="3"/>
  <c r="R27" i="3" s="1"/>
  <c r="I27" i="3"/>
  <c r="Q26" i="3"/>
  <c r="R26" i="3" s="1"/>
  <c r="I26" i="3"/>
  <c r="Q25" i="3"/>
  <c r="R25" i="3" s="1"/>
  <c r="I25" i="3"/>
  <c r="Q24" i="3"/>
  <c r="R24" i="3" s="1"/>
  <c r="I24" i="3"/>
  <c r="Q23" i="3"/>
  <c r="R23" i="3" s="1"/>
  <c r="I23" i="3"/>
  <c r="Q22" i="3"/>
  <c r="R22" i="3" s="1"/>
  <c r="I22" i="3"/>
  <c r="Q21" i="3"/>
  <c r="R21" i="3" s="1"/>
  <c r="I21" i="3"/>
  <c r="I20" i="3"/>
  <c r="Q19" i="3"/>
  <c r="R19" i="3" s="1"/>
  <c r="I19" i="3"/>
  <c r="Q18" i="3"/>
  <c r="R18" i="3" s="1"/>
  <c r="I18" i="3"/>
  <c r="Q17" i="3"/>
  <c r="R17" i="3" s="1"/>
  <c r="I17" i="3"/>
  <c r="I16" i="3"/>
  <c r="Q15" i="3"/>
  <c r="R15" i="3" s="1"/>
  <c r="I15" i="3"/>
  <c r="Q14" i="3"/>
  <c r="R14" i="3" s="1"/>
  <c r="I14" i="3"/>
  <c r="Q13" i="3"/>
  <c r="R13" i="3" s="1"/>
  <c r="I13" i="3"/>
  <c r="Q12" i="3"/>
  <c r="I12" i="3"/>
  <c r="I11" i="3"/>
  <c r="L110" i="2"/>
  <c r="M110" i="2" s="1"/>
  <c r="L111" i="2"/>
  <c r="M111" i="2" s="1"/>
  <c r="L112" i="2"/>
  <c r="M112" i="2" s="1"/>
  <c r="L113" i="2"/>
  <c r="M113" i="2" s="1"/>
  <c r="L109" i="2"/>
  <c r="L67" i="2"/>
  <c r="M67" i="2" s="1"/>
  <c r="L61" i="2"/>
  <c r="M61" i="2" s="1"/>
  <c r="L50" i="2"/>
  <c r="M50" i="2" s="1"/>
  <c r="R12" i="3" l="1"/>
  <c r="Q33" i="3"/>
  <c r="R42" i="3" s="1"/>
  <c r="R31" i="3"/>
  <c r="P12" i="4"/>
  <c r="M119" i="2"/>
  <c r="M120" i="2" s="1"/>
  <c r="L120" i="2"/>
  <c r="L62" i="2"/>
  <c r="M62" i="2"/>
  <c r="L114" i="2"/>
  <c r="M109" i="2"/>
  <c r="L69" i="2"/>
  <c r="M52" i="2"/>
  <c r="G138" i="2"/>
  <c r="F138" i="2"/>
  <c r="L155" i="2"/>
  <c r="M155" i="2" s="1"/>
  <c r="G156" i="2"/>
  <c r="I156" i="2"/>
  <c r="F156" i="2"/>
  <c r="L150" i="2"/>
  <c r="M150" i="2" s="1"/>
  <c r="L149" i="2"/>
  <c r="M149" i="2" s="1"/>
  <c r="G151" i="2"/>
  <c r="I151" i="2"/>
  <c r="F151" i="2"/>
  <c r="H132" i="2"/>
  <c r="H133" i="2"/>
  <c r="M133" i="2" s="1"/>
  <c r="H134" i="2"/>
  <c r="H135" i="2"/>
  <c r="H136" i="2"/>
  <c r="H137" i="2"/>
  <c r="L132" i="2"/>
  <c r="L134" i="2"/>
  <c r="L135" i="2"/>
  <c r="L136" i="2"/>
  <c r="L137" i="2"/>
  <c r="L131" i="2"/>
  <c r="M131" i="2" s="1"/>
  <c r="G120" i="2"/>
  <c r="I120" i="2"/>
  <c r="G114" i="2"/>
  <c r="I114" i="2"/>
  <c r="F114" i="2"/>
  <c r="L100" i="2"/>
  <c r="M100" i="2" s="1"/>
  <c r="G101" i="2"/>
  <c r="I101" i="2"/>
  <c r="F101" i="2"/>
  <c r="L95" i="2"/>
  <c r="M95" i="2" s="1"/>
  <c r="G96" i="2"/>
  <c r="I96" i="2"/>
  <c r="F96" i="2"/>
  <c r="L85" i="2"/>
  <c r="M85" i="2" s="1"/>
  <c r="L86" i="2"/>
  <c r="M86" i="2" s="1"/>
  <c r="L87" i="2"/>
  <c r="M87" i="2" s="1"/>
  <c r="L88" i="2"/>
  <c r="M88" i="2" s="1"/>
  <c r="L89" i="2"/>
  <c r="M89" i="2" s="1"/>
  <c r="L84" i="2"/>
  <c r="I91" i="2"/>
  <c r="L73" i="2"/>
  <c r="G74" i="2"/>
  <c r="I74" i="2"/>
  <c r="F74" i="2"/>
  <c r="G69" i="2"/>
  <c r="I69" i="2"/>
  <c r="F69" i="2"/>
  <c r="G62" i="2"/>
  <c r="I62" i="2"/>
  <c r="G52" i="2"/>
  <c r="I52" i="2"/>
  <c r="L52" i="2"/>
  <c r="F52" i="2"/>
  <c r="L45" i="2"/>
  <c r="M45" i="2" s="1"/>
  <c r="G46" i="2"/>
  <c r="I46" i="2"/>
  <c r="M38" i="2"/>
  <c r="L37" i="2"/>
  <c r="M37" i="2" s="1"/>
  <c r="G39" i="2"/>
  <c r="I39" i="2"/>
  <c r="F39" i="2"/>
  <c r="L33" i="2"/>
  <c r="G34" i="2"/>
  <c r="I34" i="2"/>
  <c r="L17" i="2"/>
  <c r="M17" i="2" s="1"/>
  <c r="G18" i="2"/>
  <c r="I18" i="2"/>
  <c r="L13" i="2"/>
  <c r="M13" i="2" s="1"/>
  <c r="L12" i="2"/>
  <c r="M12" i="2" s="1"/>
  <c r="G14" i="2"/>
  <c r="L7" i="2"/>
  <c r="G9" i="2"/>
  <c r="I9" i="2"/>
  <c r="R33" i="3" l="1"/>
  <c r="R43" i="3" s="1"/>
  <c r="M33" i="2"/>
  <c r="M34" i="2" s="1"/>
  <c r="L34" i="2"/>
  <c r="G186" i="2"/>
  <c r="F196" i="2"/>
  <c r="M7" i="2"/>
  <c r="M9" i="2" s="1"/>
  <c r="L9" i="2"/>
  <c r="P53" i="6"/>
  <c r="P34" i="4"/>
  <c r="E11" i="13"/>
  <c r="O62" i="2"/>
  <c r="E12" i="13"/>
  <c r="M84" i="2"/>
  <c r="M91" i="2" s="1"/>
  <c r="L91" i="2"/>
  <c r="O91" i="2" s="1"/>
  <c r="M46" i="2"/>
  <c r="L46" i="2"/>
  <c r="O46" i="2" s="1"/>
  <c r="M137" i="2"/>
  <c r="M136" i="2"/>
  <c r="M135" i="2"/>
  <c r="L74" i="2"/>
  <c r="O74" i="2" s="1"/>
  <c r="M73" i="2"/>
  <c r="M134" i="2"/>
  <c r="M132" i="2"/>
  <c r="M151" i="2"/>
  <c r="O120" i="2"/>
  <c r="O114" i="2"/>
  <c r="M18" i="2"/>
  <c r="M69" i="2"/>
  <c r="L138" i="2"/>
  <c r="O52" i="2"/>
  <c r="P52" i="2" s="1"/>
  <c r="O69" i="2"/>
  <c r="H138" i="2"/>
  <c r="L151" i="2"/>
  <c r="O151" i="2" s="1"/>
  <c r="L14" i="2"/>
  <c r="O14" i="2" s="1"/>
  <c r="L96" i="2"/>
  <c r="O96" i="2" s="1"/>
  <c r="L101" i="2"/>
  <c r="L156" i="2"/>
  <c r="O156" i="2" s="1"/>
  <c r="M114" i="2"/>
  <c r="L39" i="2"/>
  <c r="O39" i="2" s="1"/>
  <c r="L18" i="2"/>
  <c r="O18" i="2" s="1"/>
  <c r="O34" i="2"/>
  <c r="O24" i="2" l="1"/>
  <c r="P24" i="2" s="1"/>
  <c r="P35" i="4"/>
  <c r="C9" i="13"/>
  <c r="B9" i="13" s="1"/>
  <c r="B18" i="13" s="1"/>
  <c r="F197" i="2"/>
  <c r="E10" i="13"/>
  <c r="E23" i="13" s="1"/>
  <c r="O101" i="2"/>
  <c r="M138" i="2"/>
  <c r="P120" i="2"/>
  <c r="P114" i="2"/>
  <c r="P69" i="2"/>
  <c r="M156" i="2"/>
  <c r="P156" i="2" s="1"/>
  <c r="M96" i="2"/>
  <c r="P96" i="2" s="1"/>
  <c r="P34" i="2"/>
  <c r="P62" i="2"/>
  <c r="M101" i="2"/>
  <c r="M14" i="2"/>
  <c r="P91" i="2"/>
  <c r="P18" i="2"/>
  <c r="M74" i="2"/>
  <c r="P74" i="2" s="1"/>
  <c r="M39" i="2"/>
  <c r="P39" i="2" s="1"/>
  <c r="P151" i="2"/>
  <c r="O9" i="2"/>
  <c r="P9" i="2" s="1"/>
  <c r="P101" i="2" l="1"/>
  <c r="P14" i="2"/>
  <c r="P46" i="2"/>
  <c r="I138" i="2"/>
  <c r="I186" i="2" l="1"/>
  <c r="M196" i="2" s="1"/>
  <c r="C18" i="13"/>
  <c r="O138" i="2"/>
  <c r="O196" i="2" s="1"/>
  <c r="E9" i="13"/>
  <c r="E22" i="13" s="1"/>
  <c r="K196" i="2" l="1"/>
  <c r="K197" i="2" s="1"/>
  <c r="E24" i="13"/>
  <c r="P138" i="2"/>
  <c r="M197" i="2"/>
  <c r="M198" i="2" s="1"/>
  <c r="E18" i="13"/>
  <c r="F20" i="13" s="1"/>
  <c r="P54" i="6" l="1"/>
</calcChain>
</file>

<file path=xl/sharedStrings.xml><?xml version="1.0" encoding="utf-8"?>
<sst xmlns="http://schemas.openxmlformats.org/spreadsheetml/2006/main" count="1335" uniqueCount="839">
  <si>
    <t xml:space="preserve">RFC: MHJ -850101-SF3 </t>
  </si>
  <si>
    <t>Código</t>
  </si>
  <si>
    <t>Empleado</t>
  </si>
  <si>
    <t>Sueldo</t>
  </si>
  <si>
    <t>*Otras* *Percepciones*</t>
  </si>
  <si>
    <t>*TOTAL* *PERCEPCIONES*</t>
  </si>
  <si>
    <t>*TOTAL* *DEDUCCIONES*</t>
  </si>
  <si>
    <t>*NETO*</t>
  </si>
  <si>
    <t>Departamento 1 Sala de Regidores</t>
  </si>
  <si>
    <t>Total Depto</t>
  </si>
  <si>
    <t>Departamento 2 Presidencia Municipal</t>
  </si>
  <si>
    <t>Departamento 3 Secretaria Gral y Sindicatura</t>
  </si>
  <si>
    <t>Departamento 4 Juez Municipal</t>
  </si>
  <si>
    <t>Departamento 5 Oficialia Mayor</t>
  </si>
  <si>
    <t>Departamento 7 Educacion Publica</t>
  </si>
  <si>
    <t>Departamento 8 Hacienda Municipal</t>
  </si>
  <si>
    <t>Departamento 9 Catastro</t>
  </si>
  <si>
    <t>Departamento 10 Diseño Grafico y Comunicacion Social</t>
  </si>
  <si>
    <t>Departamento 11 Desarrollo social y Part Ciudadana</t>
  </si>
  <si>
    <t>Departamento 12 Obras Publicas</t>
  </si>
  <si>
    <t>Departamento 13 Construccion</t>
  </si>
  <si>
    <t>Departamento 14 Cementerio</t>
  </si>
  <si>
    <t>Departamento 15 Rastro Municipal</t>
  </si>
  <si>
    <t>Departamento 16 Aseo Publico</t>
  </si>
  <si>
    <t>Departamento 17 Alumbrado Publico</t>
  </si>
  <si>
    <t>Departamento 18 Agua Potable y Alcantarillado</t>
  </si>
  <si>
    <t>Departamento 19 Turismo</t>
  </si>
  <si>
    <t>Total Gral.</t>
  </si>
  <si>
    <t xml:space="preserve"> </t>
  </si>
  <si>
    <t>FIRMA</t>
  </si>
  <si>
    <t>AUTORIZO</t>
  </si>
  <si>
    <t>MARGARITA ZAMBRANO CELAYA</t>
  </si>
  <si>
    <t>BRIGIDO CARRILLO CARRILLO</t>
  </si>
  <si>
    <t>MARIBEL CELAYA RODRIGUEZ</t>
  </si>
  <si>
    <t>MA.GUADALUPE RUIZ ZAMBRANO</t>
  </si>
  <si>
    <t>JUAN JOSE SANCHEZ PALACIOS</t>
  </si>
  <si>
    <t>ROSARIO L. RINCON HIDALGO</t>
  </si>
  <si>
    <t>FCA.JUDITH GONZALEZ GTEZ</t>
  </si>
  <si>
    <t>MA. ELENA MONROY GONZALEZ</t>
  </si>
  <si>
    <t>HONORATO CABRERA NUÑEZ</t>
  </si>
  <si>
    <t>VERONICA SANTOS CARRILLO</t>
  </si>
  <si>
    <t>MARIO MARTINEZ FLORES</t>
  </si>
  <si>
    <t xml:space="preserve">I.S.R. </t>
  </si>
  <si>
    <t xml:space="preserve">Subs al Empleo </t>
  </si>
  <si>
    <t>TOTAL DEPARTAMENTO</t>
  </si>
  <si>
    <t>OK</t>
  </si>
  <si>
    <t>Nombre</t>
  </si>
  <si>
    <t>Paterno</t>
  </si>
  <si>
    <t>Materno</t>
  </si>
  <si>
    <t>Nombres</t>
  </si>
  <si>
    <t>Plaza</t>
  </si>
  <si>
    <t>RFC</t>
  </si>
  <si>
    <t>TOTAL</t>
  </si>
  <si>
    <t xml:space="preserve">Num. </t>
  </si>
  <si>
    <t>Percepciones</t>
  </si>
  <si>
    <t>Deduciones</t>
  </si>
  <si>
    <t>Trab x</t>
  </si>
  <si>
    <t xml:space="preserve">Dias </t>
  </si>
  <si>
    <t xml:space="preserve">   Sueldo </t>
  </si>
  <si>
    <t xml:space="preserve">Otros </t>
  </si>
  <si>
    <t xml:space="preserve">   Total de </t>
  </si>
  <si>
    <t xml:space="preserve">Subsidio </t>
  </si>
  <si>
    <t xml:space="preserve">Total de </t>
  </si>
  <si>
    <t>area</t>
  </si>
  <si>
    <t>Trab.</t>
  </si>
  <si>
    <t>Qincenal</t>
  </si>
  <si>
    <t xml:space="preserve"> exc.</t>
  </si>
  <si>
    <t xml:space="preserve">    Percep</t>
  </si>
  <si>
    <t xml:space="preserve"> Empleo</t>
  </si>
  <si>
    <t>I.S.p.T</t>
  </si>
  <si>
    <t xml:space="preserve">   Ded.</t>
  </si>
  <si>
    <t>Total a Pagar</t>
  </si>
  <si>
    <t>Maldonado</t>
  </si>
  <si>
    <t xml:space="preserve">Moreno </t>
  </si>
  <si>
    <t>Roberto</t>
  </si>
  <si>
    <t>Chofer</t>
  </si>
  <si>
    <t>Galindo</t>
  </si>
  <si>
    <t>Castañeda</t>
  </si>
  <si>
    <t>Ma. Antonia</t>
  </si>
  <si>
    <t>Enc. Bombas</t>
  </si>
  <si>
    <t>Contreras</t>
  </si>
  <si>
    <t>Rafael</t>
  </si>
  <si>
    <t>Salvador alejandro</t>
  </si>
  <si>
    <t>Hidalgo</t>
  </si>
  <si>
    <t>Carrillo</t>
  </si>
  <si>
    <t>Ivan</t>
  </si>
  <si>
    <t>Insp. Agri. Y ganadero</t>
  </si>
  <si>
    <t xml:space="preserve">Gudiño </t>
  </si>
  <si>
    <t>Ayón</t>
  </si>
  <si>
    <t>Jerónimo Antonio</t>
  </si>
  <si>
    <t>Hernández</t>
  </si>
  <si>
    <t>Gregorio</t>
  </si>
  <si>
    <t>Operador de maquina</t>
  </si>
  <si>
    <t>Hernandez</t>
  </si>
  <si>
    <t>Ramirez</t>
  </si>
  <si>
    <t>Ma.Rosa</t>
  </si>
  <si>
    <t>Enc. Cem. De la venta</t>
  </si>
  <si>
    <t>Valdez</t>
  </si>
  <si>
    <t>Monroy</t>
  </si>
  <si>
    <t>Luis Enrique</t>
  </si>
  <si>
    <t>Bodeguero</t>
  </si>
  <si>
    <t>Flores</t>
  </si>
  <si>
    <t>Bañuelos</t>
  </si>
  <si>
    <t>J. Antonio</t>
  </si>
  <si>
    <t>Auxiliar</t>
  </si>
  <si>
    <t>Rubio</t>
  </si>
  <si>
    <t>Piz</t>
  </si>
  <si>
    <t>Ramón</t>
  </si>
  <si>
    <t>Enc del reloj municipal</t>
  </si>
  <si>
    <t>Moreno</t>
  </si>
  <si>
    <t>Cortes</t>
  </si>
  <si>
    <t>Ma. Guadalupe</t>
  </si>
  <si>
    <t>Esparza</t>
  </si>
  <si>
    <t>Martínez</t>
  </si>
  <si>
    <t>Mauricio Eugenio</t>
  </si>
  <si>
    <t>Aux de recol. De basura</t>
  </si>
  <si>
    <t>Mejía</t>
  </si>
  <si>
    <t>Marcos Antonio</t>
  </si>
  <si>
    <t>Chofer de obra publica</t>
  </si>
  <si>
    <t>Palacios</t>
  </si>
  <si>
    <t>Miramontes</t>
  </si>
  <si>
    <t>Morales</t>
  </si>
  <si>
    <t>Marisela</t>
  </si>
  <si>
    <t>Secretaria</t>
  </si>
  <si>
    <t>Macías</t>
  </si>
  <si>
    <t>Vega</t>
  </si>
  <si>
    <t>Irma</t>
  </si>
  <si>
    <t>Aux. De intendencia</t>
  </si>
  <si>
    <t>Santiago</t>
  </si>
  <si>
    <t>Hilda Guillermina</t>
  </si>
  <si>
    <t xml:space="preserve">Secretaria </t>
  </si>
  <si>
    <t>Gutiérrez</t>
  </si>
  <si>
    <t>Agustín</t>
  </si>
  <si>
    <t>Gonzalez</t>
  </si>
  <si>
    <t>Rivera</t>
  </si>
  <si>
    <t>Jose Alberto</t>
  </si>
  <si>
    <t>Ruiz</t>
  </si>
  <si>
    <t>Becerra</t>
  </si>
  <si>
    <t>Monica Yolanda</t>
  </si>
  <si>
    <t xml:space="preserve">         VISTO BUENO</t>
  </si>
  <si>
    <t xml:space="preserve">              VISTO BUENO</t>
  </si>
  <si>
    <t xml:space="preserve">HOMBRES </t>
  </si>
  <si>
    <t xml:space="preserve">MUJERES </t>
  </si>
  <si>
    <t>Proteccion civil</t>
  </si>
  <si>
    <t xml:space="preserve">    </t>
  </si>
  <si>
    <t>Num.</t>
  </si>
  <si>
    <t xml:space="preserve">   Trab.</t>
  </si>
  <si>
    <t>Total de</t>
  </si>
  <si>
    <t>Total a</t>
  </si>
  <si>
    <t>x Area</t>
  </si>
  <si>
    <t>trab.</t>
  </si>
  <si>
    <t>quincenal</t>
  </si>
  <si>
    <t>excentos</t>
  </si>
  <si>
    <t>Percep.</t>
  </si>
  <si>
    <t xml:space="preserve">al Empleo </t>
  </si>
  <si>
    <t>Deduc.</t>
  </si>
  <si>
    <t xml:space="preserve"> Pagar</t>
  </si>
  <si>
    <t>Departamento de Proteccion Civil</t>
  </si>
  <si>
    <t>Bravo</t>
  </si>
  <si>
    <t>Jose de Jesus</t>
  </si>
  <si>
    <t>Oficial de línea</t>
  </si>
  <si>
    <t>BABJ700605CC6</t>
  </si>
  <si>
    <t>Valderrama</t>
  </si>
  <si>
    <t>Carlos Alonso</t>
  </si>
  <si>
    <t>VAVC940315NL1</t>
  </si>
  <si>
    <t>Lopez</t>
  </si>
  <si>
    <t>Galvan</t>
  </si>
  <si>
    <t>Ana Veronica</t>
  </si>
  <si>
    <t>CAGX760905B29</t>
  </si>
  <si>
    <t>Roman</t>
  </si>
  <si>
    <t>Noemi</t>
  </si>
  <si>
    <t>LORN7811057M6</t>
  </si>
  <si>
    <t xml:space="preserve">Garcia </t>
  </si>
  <si>
    <t>Lara</t>
  </si>
  <si>
    <t>Tomas Salvador</t>
  </si>
  <si>
    <t>GALT851001BD4</t>
  </si>
  <si>
    <t>Maria Elena</t>
  </si>
  <si>
    <t>VARE910526368</t>
  </si>
  <si>
    <t>Garcia</t>
  </si>
  <si>
    <t>Gutierrez</t>
  </si>
  <si>
    <t>Cesar Gustavo</t>
  </si>
  <si>
    <t>GAGC951010G76</t>
  </si>
  <si>
    <t>Silvia</t>
  </si>
  <si>
    <t>Covarrubias</t>
  </si>
  <si>
    <t>Ramiro</t>
  </si>
  <si>
    <t>exc.</t>
  </si>
  <si>
    <t>Seguridad Publica</t>
  </si>
  <si>
    <t>DIRECTOR</t>
  </si>
  <si>
    <t xml:space="preserve">Isidro Guadalupe </t>
  </si>
  <si>
    <t>Comandante</t>
  </si>
  <si>
    <t>Jose Juan</t>
  </si>
  <si>
    <t>J.Guadalupe</t>
  </si>
  <si>
    <t>Policia de linea</t>
  </si>
  <si>
    <t>Diaz</t>
  </si>
  <si>
    <t>J. Jesus</t>
  </si>
  <si>
    <t>J.Manuel</t>
  </si>
  <si>
    <t>Lorenzo</t>
  </si>
  <si>
    <t>Manuel Gerardo</t>
  </si>
  <si>
    <t>Perez</t>
  </si>
  <si>
    <t>F I R M A</t>
  </si>
  <si>
    <t>MUNICIPIO DE HOSTOTIPAQUILLO JALISCO</t>
  </si>
  <si>
    <t>base</t>
  </si>
  <si>
    <t>nom. Eventuales</t>
  </si>
  <si>
    <t>Juan Celso</t>
  </si>
  <si>
    <t>LOPEZ FLORES MA. CRUZ</t>
  </si>
  <si>
    <t>Mojarro</t>
  </si>
  <si>
    <t>Herlinda Rubi</t>
  </si>
  <si>
    <t>Maria</t>
  </si>
  <si>
    <t>Aux. int.</t>
  </si>
  <si>
    <t>ordenes de pago</t>
  </si>
  <si>
    <t>regidores</t>
  </si>
  <si>
    <t>seguridad publica</t>
  </si>
  <si>
    <t>proteccion civil</t>
  </si>
  <si>
    <t>PLAZA</t>
  </si>
  <si>
    <t>REGIDOR</t>
  </si>
  <si>
    <t>SINDICO</t>
  </si>
  <si>
    <t>SECRETARIA</t>
  </si>
  <si>
    <t>PRESIDENTE</t>
  </si>
  <si>
    <t>SECRETARIO GENERAL</t>
  </si>
  <si>
    <t>JUEZ</t>
  </si>
  <si>
    <t>OFICIAL MAYOR</t>
  </si>
  <si>
    <t>DIRECTOR REGISTRO CIVIL</t>
  </si>
  <si>
    <t xml:space="preserve">ENC. BIBLIOTECA </t>
  </si>
  <si>
    <t>DIRECTORA CASA DE CULTURA</t>
  </si>
  <si>
    <t>ENC. DE HACIENDA MUNICIPAL</t>
  </si>
  <si>
    <t>CHOFER</t>
  </si>
  <si>
    <t>AUX. CATASTRO</t>
  </si>
  <si>
    <t xml:space="preserve">DIRECTORA </t>
  </si>
  <si>
    <t>DIRECTORA DESARROLLO S.</t>
  </si>
  <si>
    <t>AUXILIAR DESARROLLO S.</t>
  </si>
  <si>
    <t>DIRECTOR OBRA PUBLICA</t>
  </si>
  <si>
    <t>OPERADOR MAQUINA</t>
  </si>
  <si>
    <t>AUXILIAR</t>
  </si>
  <si>
    <t>DIRECTOR CEMENTERIO</t>
  </si>
  <si>
    <t>AUXILIAR RASTRO</t>
  </si>
  <si>
    <t>DIRECTOR DE RASTRO</t>
  </si>
  <si>
    <t xml:space="preserve">AUXILIAR </t>
  </si>
  <si>
    <t>DIRECTOR AGUA POTABLE</t>
  </si>
  <si>
    <t>ENC. BOMBA LAS CUEVAS</t>
  </si>
  <si>
    <t xml:space="preserve">ENC. BOMBA  </t>
  </si>
  <si>
    <t>ENC. BOMBA</t>
  </si>
  <si>
    <t>JORGE ORENDAIN RUBIO</t>
  </si>
  <si>
    <t>JOSE LUIS PACHECO OCEGUEDA</t>
  </si>
  <si>
    <t>JUAN RAMON TIZNADO AYON</t>
  </si>
  <si>
    <t>FIDEL GONZALEZ VARELA</t>
  </si>
  <si>
    <t>ROBERTO AVALOS TORRES</t>
  </si>
  <si>
    <t>ENC. DE UNIDAD DEPORTIVA</t>
  </si>
  <si>
    <t>DIRECTORA TURISMO</t>
  </si>
  <si>
    <t>MEDICO MUNICIPAL</t>
  </si>
  <si>
    <t>subsidio dif</t>
  </si>
  <si>
    <t>total</t>
  </si>
  <si>
    <t>Encargado Parque Vehicular</t>
  </si>
  <si>
    <t>Aux. En Biblioteca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</si>
  <si>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</si>
  <si>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</si>
  <si>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</si>
  <si>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</si>
  <si>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</si>
  <si>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</si>
  <si>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</si>
  <si>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</si>
  <si>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</si>
  <si>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</si>
  <si>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Brayam Alberto</t>
  </si>
  <si>
    <t>n.cta</t>
  </si>
  <si>
    <t>NOMBRE</t>
  </si>
  <si>
    <t>CARGO</t>
  </si>
  <si>
    <t>SUELDO</t>
  </si>
  <si>
    <t>Jose Isabel</t>
  </si>
  <si>
    <t>Celaya</t>
  </si>
  <si>
    <t>Ruben</t>
  </si>
  <si>
    <t>JOSEFINA RIVERA GOMEZ</t>
  </si>
  <si>
    <t>DAVID RODRIGUEZ REYNAGA</t>
  </si>
  <si>
    <t>OLIVIA MENDOZA LARA</t>
  </si>
  <si>
    <t>FIDEL ORENDAIN LOPEZ</t>
  </si>
  <si>
    <t>MAURICIO RIVAS RIVAS</t>
  </si>
  <si>
    <t>RAMIRO BRAVO BAÑUELOS</t>
  </si>
  <si>
    <t>ANGEL LEONEL BRICEÑO VALDERRAMA</t>
  </si>
  <si>
    <t>RENE MORENO MENDOZA</t>
  </si>
  <si>
    <t>JORGE RAYGOZA MORENO</t>
  </si>
  <si>
    <t>LEANDRO LOPEZ ALTAMIRANO</t>
  </si>
  <si>
    <t>EMILIANO LOPEZ ARELLANO</t>
  </si>
  <si>
    <t>AUX.ASEO PLAZA PRINCIPAL</t>
  </si>
  <si>
    <t>AARON GARCIA GOMEZ</t>
  </si>
  <si>
    <t>MARCOS DE JESUS GONZALEZ CALDERA</t>
  </si>
  <si>
    <t>FERNANDO GARCIA GARCIA</t>
  </si>
  <si>
    <t>CUITLAHUAC MARTINEZ MELENDEZ</t>
  </si>
  <si>
    <t>ANTONIO MENDOZA COVARRUBIAS</t>
  </si>
  <si>
    <t>AUXILIAR DE INTENDENCIA DE LA PLAZA DE LA LA VENTA</t>
  </si>
  <si>
    <t>MARIA GUADALUPE</t>
  </si>
  <si>
    <t>CARRILLO</t>
  </si>
  <si>
    <t xml:space="preserve">HERNANDEZ </t>
  </si>
  <si>
    <t>AUX. INT. PLAZA DE LA ESTANZUELA</t>
  </si>
  <si>
    <t>MARIA CONCEPCION</t>
  </si>
  <si>
    <t>RIVERA</t>
  </si>
  <si>
    <t>PALOS</t>
  </si>
  <si>
    <t>AUX DE INT EN PREESOLAR SOR JUANA DE LA VENTA</t>
  </si>
  <si>
    <t>SILVIA AMPARO</t>
  </si>
  <si>
    <t>REYES</t>
  </si>
  <si>
    <t>SANCHEZ</t>
  </si>
  <si>
    <t>AUX DE INT EN TELESECUNDARIA PEDRO MORENO LA VENTA</t>
  </si>
  <si>
    <t>GONZALEZ</t>
  </si>
  <si>
    <t xml:space="preserve">CARRILLO </t>
  </si>
  <si>
    <t>MRALJN8051614H101</t>
  </si>
  <si>
    <t>ALVG68082714M900</t>
  </si>
  <si>
    <t>AUX DE INT EN PRESCOLAR SANTO TOMAS</t>
  </si>
  <si>
    <t>AYON</t>
  </si>
  <si>
    <t>AUX DE INT PLAZA DEL LLANO DE LOS VELAS</t>
  </si>
  <si>
    <t>AUX DE INT EN PLAZA DE SANTO TOMAS.</t>
  </si>
  <si>
    <t>TERESA</t>
  </si>
  <si>
    <t>VEGA</t>
  </si>
  <si>
    <t>CRHRTR64101014M600</t>
  </si>
  <si>
    <t>AUX DE INT EN PRESCOLAR EL SAUCILLO</t>
  </si>
  <si>
    <t>HERNANDEZ</t>
  </si>
  <si>
    <t>GLHRTR78122914M500</t>
  </si>
  <si>
    <t>AUX DE INT EN LA ESC. DEL SAUCILLO</t>
  </si>
  <si>
    <t>MA. DEL ROSARIO</t>
  </si>
  <si>
    <t>VALENZUELA</t>
  </si>
  <si>
    <t>ZAPATA</t>
  </si>
  <si>
    <t>VASE530921</t>
  </si>
  <si>
    <t>VARGAS</t>
  </si>
  <si>
    <t>AUX. INT. PLAZA TEQUESQUITE</t>
  </si>
  <si>
    <t>VICTOR HUGO</t>
  </si>
  <si>
    <t>TAMAYO</t>
  </si>
  <si>
    <t>AUX DE INT EN CLINICA DE LA VENTA</t>
  </si>
  <si>
    <t>LOURDES</t>
  </si>
  <si>
    <t>ROMERO</t>
  </si>
  <si>
    <t>AUX DE INT PRIMARIA PLAN  DE BARRANCAS</t>
  </si>
  <si>
    <t>OFELIA</t>
  </si>
  <si>
    <t>RUBIO</t>
  </si>
  <si>
    <t>CRHRSL74073014M600</t>
  </si>
  <si>
    <t>AUX DE INT PRIMARIA DE LA VENTA.</t>
  </si>
  <si>
    <t xml:space="preserve">PAGO </t>
  </si>
  <si>
    <t>Num Trab</t>
  </si>
  <si>
    <t xml:space="preserve">MA. DEL REFUGIO GARCIA CASILLAS </t>
  </si>
  <si>
    <t>MARCELINO VALADEZ VILLA</t>
  </si>
  <si>
    <t>MODESTO ROBLES CHACON</t>
  </si>
  <si>
    <t>PEDRO IGNACIO GARCIA CASILLAS</t>
  </si>
  <si>
    <t>ALFREDO MONTES ZAMBRANO</t>
  </si>
  <si>
    <t>DIR.ALUMBRADO</t>
  </si>
  <si>
    <t>VENANCIO LEDEZMA ESPINOZA</t>
  </si>
  <si>
    <t>PENSIONADOS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</si>
  <si>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</si>
  <si>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</si>
  <si>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</si>
  <si>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</si>
  <si>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</si>
  <si>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</si>
  <si>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</si>
  <si>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</si>
  <si>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</si>
  <si>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</si>
  <si>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</si>
  <si>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</si>
  <si>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</si>
  <si>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</si>
  <si>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</si>
  <si>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</si>
  <si>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</si>
  <si>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</si>
  <si>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</si>
  <si>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</si>
  <si>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</si>
  <si>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</si>
  <si>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</si>
  <si>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</si>
  <si>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</si>
  <si>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</si>
  <si>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</si>
  <si>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</si>
  <si>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</si>
  <si>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</si>
  <si>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</si>
  <si>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</si>
  <si>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</si>
  <si>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</si>
  <si>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</si>
  <si>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</si>
  <si>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</si>
  <si>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</si>
  <si>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</si>
  <si>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</si>
  <si>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Casa Cultura</t>
  </si>
  <si>
    <t xml:space="preserve">ISR </t>
  </si>
  <si>
    <t>mensual</t>
  </si>
  <si>
    <t>Instructores de casa de Cultura.</t>
  </si>
  <si>
    <t>Chavez</t>
  </si>
  <si>
    <t>Ana Rosa</t>
  </si>
  <si>
    <t>Felipe</t>
  </si>
  <si>
    <t>Instructor de Charrerria</t>
  </si>
  <si>
    <t>HICF940309TU7</t>
  </si>
  <si>
    <t>TOTAL MENSUAL</t>
  </si>
  <si>
    <t>PRESIDENTE MUNICIPAL</t>
  </si>
  <si>
    <t>ENCARGADO DE HACIENDA MUNICIPAL</t>
  </si>
  <si>
    <t xml:space="preserve">      DIR. DE CULTURA</t>
  </si>
  <si>
    <t>OCEGUEDA GUERRERO J. JUAN</t>
  </si>
  <si>
    <t>ESCOBEDO ROJAS J. SABINO</t>
  </si>
  <si>
    <t>GUERRERO GALLARDO HUMBERTO</t>
  </si>
  <si>
    <t>CORTES RODRIGUEZ OLIVALDO</t>
  </si>
  <si>
    <t>MONTES ZAMBRANO J. JESUS</t>
  </si>
  <si>
    <t>COVARRUBIAS ARRELLANO HECTOR</t>
  </si>
  <si>
    <t>RUBIO ESQUEDA J. ANTONIO</t>
  </si>
  <si>
    <t>MANZANO HIDALGO RUBEN</t>
  </si>
  <si>
    <t>MONTES ZAMBRANO M. ANTONIO</t>
  </si>
  <si>
    <t>AMEZQUITA LLAMAS CANDELARIO</t>
  </si>
  <si>
    <t>VALLE GONZALEZ JERONIMO</t>
  </si>
  <si>
    <t>GONZALEZ GUTIERREZ JAVIER</t>
  </si>
  <si>
    <t>ELPIDIO MACIAS GALINDO</t>
  </si>
  <si>
    <t>HERNANDEZ ROMERO RUBEN</t>
  </si>
  <si>
    <t>AUTORIZA</t>
  </si>
  <si>
    <t>VISTO BUENO</t>
  </si>
  <si>
    <t>REGIDORES</t>
  </si>
  <si>
    <t>BASE</t>
  </si>
  <si>
    <t>SEGURIDAD PUBLICA</t>
  </si>
  <si>
    <t>PROTECCION CIVIL</t>
  </si>
  <si>
    <t>NOM. TRAB. EVENTUALES</t>
  </si>
  <si>
    <t>ORDENES DE PAGO</t>
  </si>
  <si>
    <t>TRABAJADORES MENSUALES</t>
  </si>
  <si>
    <t>PAGO SEMANAL</t>
  </si>
  <si>
    <t>CASA DE LA CULTURA</t>
  </si>
  <si>
    <t>HUGO A. ROJAS SANCHEZ</t>
  </si>
  <si>
    <t>RAMON ALEJANDRO GONZALEZ LEON</t>
  </si>
  <si>
    <t>JOSE ZARATE OCAMPO</t>
  </si>
  <si>
    <t>JUAN ZENON TORRES CARRILLO</t>
  </si>
  <si>
    <t>JAIME RODRIGUEZ NAVARRO</t>
  </si>
  <si>
    <t>ALICIA CARRILLO CORTES</t>
  </si>
  <si>
    <t xml:space="preserve">CESARIO </t>
  </si>
  <si>
    <t>LOPEZ</t>
  </si>
  <si>
    <t>Quincenales</t>
  </si>
  <si>
    <t>Mensuales</t>
  </si>
  <si>
    <t>Semanal</t>
  </si>
  <si>
    <t>NOMINAS</t>
  </si>
  <si>
    <t>HOSTOTIPAQUILLO JALISCO 2018-2021</t>
  </si>
  <si>
    <t>NOMINA GENERAL</t>
  </si>
  <si>
    <t>HORA</t>
  </si>
  <si>
    <t>PUESTO</t>
  </si>
  <si>
    <t>LUGAR</t>
  </si>
  <si>
    <t>ROBM-870625</t>
  </si>
  <si>
    <t>Aux. Agua Potable</t>
  </si>
  <si>
    <t>Los Michel</t>
  </si>
  <si>
    <t xml:space="preserve">Aux. Intendencia  </t>
  </si>
  <si>
    <t xml:space="preserve">Casa de la cultura </t>
  </si>
  <si>
    <t>RORD-431229</t>
  </si>
  <si>
    <t>Cronista Municipal</t>
  </si>
  <si>
    <t>Hostotipaquillo Jal.</t>
  </si>
  <si>
    <t>PAOA-840204</t>
  </si>
  <si>
    <t>Encargado de Bomba</t>
  </si>
  <si>
    <t>La Montaña</t>
  </si>
  <si>
    <t>J. ASENCIO LUNA PEREZ</t>
  </si>
  <si>
    <t>Encargado de parque vehicular T/V</t>
  </si>
  <si>
    <t>OELF-890826</t>
  </si>
  <si>
    <t>Chofer de Transporte de Alumnos</t>
  </si>
  <si>
    <t xml:space="preserve">Cinco Minas </t>
  </si>
  <si>
    <t>GOPA-770828</t>
  </si>
  <si>
    <t>Promotor de Deportes</t>
  </si>
  <si>
    <t>Aux. de Agua Potable</t>
  </si>
  <si>
    <t>BABR-660516</t>
  </si>
  <si>
    <t xml:space="preserve">Chofer de Transporte de Alumnos </t>
  </si>
  <si>
    <t>Encargado Relleno Municipal</t>
  </si>
  <si>
    <t>MOMR-940601</t>
  </si>
  <si>
    <t>RAMJ-901027</t>
  </si>
  <si>
    <t xml:space="preserve">Enc. De Parque Ecologico </t>
  </si>
  <si>
    <t>Labor de Guadalupe</t>
  </si>
  <si>
    <t>LOAL-661025</t>
  </si>
  <si>
    <t>Aseo en Unidad Deportiva</t>
  </si>
  <si>
    <t>LOCJ-770131</t>
  </si>
  <si>
    <t>Aux. Aseo Publico Municipal</t>
  </si>
  <si>
    <t xml:space="preserve">JOSE MONTES ZAMBRANO </t>
  </si>
  <si>
    <t>MOZJ-680425</t>
  </si>
  <si>
    <t>Chofer Recolector de Basura</t>
  </si>
  <si>
    <t>Aux.de Intendencia en Plaza Mpal.</t>
  </si>
  <si>
    <t>GAGA-591122</t>
  </si>
  <si>
    <t>Instructor de Banda de Guerra</t>
  </si>
  <si>
    <t>GOCM-870623</t>
  </si>
  <si>
    <t>Auxiliar de Trasparencia</t>
  </si>
  <si>
    <t>JOSE ASENCIO SALINAS SUAREZ</t>
  </si>
  <si>
    <t>SASJ-600728</t>
  </si>
  <si>
    <t>RAFAEL ZUÑIGA ANZALDO</t>
  </si>
  <si>
    <t>ZUAR-460428</t>
  </si>
  <si>
    <t xml:space="preserve">Enc. Cementerio </t>
  </si>
  <si>
    <t>Plan de Barrancas</t>
  </si>
  <si>
    <t>MAMC-731202</t>
  </si>
  <si>
    <t>Enc. De Bomba</t>
  </si>
  <si>
    <t>CATALINA GALINDO RODRIGUEZ</t>
  </si>
  <si>
    <t>GARC-540914</t>
  </si>
  <si>
    <t xml:space="preserve">JOSE ANGEL RODRIGUEZ VALLARTA </t>
  </si>
  <si>
    <t xml:space="preserve">Asistente </t>
  </si>
  <si>
    <t>Llano de los Vela</t>
  </si>
  <si>
    <t>Bombero</t>
  </si>
  <si>
    <t>Las Conocas</t>
  </si>
  <si>
    <t>BENJAMIN ALTAMIRANO VALDERRAMA</t>
  </si>
  <si>
    <t>Aux. de Intendencia en Preescolar</t>
  </si>
  <si>
    <t>Sto. Domingo de Guzman</t>
  </si>
  <si>
    <t>SAVD-000701</t>
  </si>
  <si>
    <t>Enc. De la biblioteca de Esc. Preparatoria</t>
  </si>
  <si>
    <t>LEHA990807</t>
  </si>
  <si>
    <t>JESSICA ARACELI OLIVARES CARRILLO</t>
  </si>
  <si>
    <t>OICJ-931209</t>
  </si>
  <si>
    <t>Aux. Int. Prescolar Jose Rojas Moreno</t>
  </si>
  <si>
    <t>CXCA-651115</t>
  </si>
  <si>
    <t>Aux. Int. Primaria</t>
  </si>
  <si>
    <t>Total</t>
  </si>
  <si>
    <t xml:space="preserve">JIMENEZ </t>
  </si>
  <si>
    <t>PEREZ</t>
  </si>
  <si>
    <t>MARIA DEL ROCIO</t>
  </si>
  <si>
    <t>AUXILIAR EN CEMENTERIO DEL TEQUESQUITE</t>
  </si>
  <si>
    <t xml:space="preserve">OROZCO </t>
  </si>
  <si>
    <t>VICTORINA</t>
  </si>
  <si>
    <t>Firma</t>
  </si>
  <si>
    <t>PARTICIPACIONES</t>
  </si>
  <si>
    <t>FORTALECIMIENTO</t>
  </si>
  <si>
    <t>VACACIONES</t>
  </si>
  <si>
    <t xml:space="preserve">TEPOSTE REYES JESUS </t>
  </si>
  <si>
    <t>Auxiliar en Agua Potable</t>
  </si>
  <si>
    <t>SILVIA GUADALUPE</t>
  </si>
  <si>
    <t>ROCIO YESENIA  RUBIO RODRIGUEZ</t>
  </si>
  <si>
    <t>Nomina de Eventuales</t>
  </si>
  <si>
    <t>Pago Semanal</t>
  </si>
  <si>
    <t>ADMINISTRACION 2018-2021, H. AYUNTAMIENTO DE HOSTOTIPAQUILLO</t>
  </si>
  <si>
    <t>MAYRA L BRISEÑO VILLAGRANA</t>
  </si>
  <si>
    <t>DIRECTORA</t>
  </si>
  <si>
    <t>CONTRALOR</t>
  </si>
  <si>
    <t>Sanchez</t>
  </si>
  <si>
    <t>MARIA ESPERANZA CALDERA SOLIS</t>
  </si>
  <si>
    <t>AUX. DE INTENDENCIA</t>
  </si>
  <si>
    <t>H. AYUNTAMIENTO DE HOSTOTIPAQUILLO JAL 2018-2021</t>
  </si>
  <si>
    <t>Departamento 20 Servicios Medicos Minicipales</t>
  </si>
  <si>
    <t>Departamento 6 Registro Civil</t>
  </si>
  <si>
    <t>Abel</t>
  </si>
  <si>
    <t>PEÑA</t>
  </si>
  <si>
    <t xml:space="preserve">AUX. DE INT PLAZA EL SAUCILLO </t>
  </si>
  <si>
    <t>ENCARGADA  DE L PROGRAMA  ADULTO MAYOR DE LA VENTA DE MOCHITILTIC</t>
  </si>
  <si>
    <t>.</t>
  </si>
  <si>
    <t>Director</t>
  </si>
  <si>
    <t>ALVAREZ</t>
  </si>
  <si>
    <t>ROSALES</t>
  </si>
  <si>
    <t>AUX. DE INT PLAZA  PLAN DE BARRANCAS</t>
  </si>
  <si>
    <t xml:space="preserve">JOSE GUTIERREZ RODRIGUEZ </t>
  </si>
  <si>
    <t>Secretario de Obras Publicas</t>
  </si>
  <si>
    <t>GERARDO MANZANO PEREZ</t>
  </si>
  <si>
    <t xml:space="preserve">NOMINA EVENTUAL </t>
  </si>
  <si>
    <t>RAMON GONZALEZ VARELA</t>
  </si>
  <si>
    <t>JOSE ALFREDO HERNANDEZ AMAYA</t>
  </si>
  <si>
    <t xml:space="preserve">Prestamo </t>
  </si>
  <si>
    <t>Prestamo</t>
  </si>
  <si>
    <t>Alta 19/02/2019</t>
  </si>
  <si>
    <t>Sayulimita</t>
  </si>
  <si>
    <t xml:space="preserve">Enc. De bomba </t>
  </si>
  <si>
    <t xml:space="preserve">Total </t>
  </si>
  <si>
    <t>PRESTAMOS</t>
  </si>
  <si>
    <t>ALTAMIRANO PEREZ E JOSE H.</t>
  </si>
  <si>
    <t>DORA JAZMIN SALINAS VALDEZ</t>
  </si>
  <si>
    <t>LOPEZ FLORES ULISES</t>
  </si>
  <si>
    <t>CHOFER DE VOLTEO</t>
  </si>
  <si>
    <t>ALTA</t>
  </si>
  <si>
    <t>BAJA</t>
  </si>
  <si>
    <t xml:space="preserve">MATIAS ROBERTO DE JESUS MEDINA MICHEL </t>
  </si>
  <si>
    <t>TERAPEUTA</t>
  </si>
  <si>
    <t>MAYORGA CORONA FRANCISCO MACARIO</t>
  </si>
  <si>
    <t>JOSE FELICIANO CORONA FLORES</t>
  </si>
  <si>
    <t>KARELLY JUDITH HERNANDEZ GONZALEZ</t>
  </si>
  <si>
    <t>ANA  LUISA BAÑUELOS JAIMES</t>
  </si>
  <si>
    <t>MARIA ELIZABETH ZAMBRANO ARRIAGA</t>
  </si>
  <si>
    <t>CLAUDIA ELENA ROJAS MORA</t>
  </si>
  <si>
    <t>AMALIA CALDERA MARTINEZ</t>
  </si>
  <si>
    <t>AYON RUVALCABA JUAN JOSE</t>
  </si>
  <si>
    <t>ENC. DE ALUMBRADO PUBLICO</t>
  </si>
  <si>
    <t xml:space="preserve">FABIAN GARCIA GARCIA </t>
  </si>
  <si>
    <t xml:space="preserve">Axiliar General </t>
  </si>
  <si>
    <t>Descuento</t>
  </si>
  <si>
    <t xml:space="preserve">Faltas </t>
  </si>
  <si>
    <t>Alta el 12 de junio 2019</t>
  </si>
  <si>
    <t>JOEL MARTINIANO LOPEZ CORONA</t>
  </si>
  <si>
    <t xml:space="preserve">HUERTA </t>
  </si>
  <si>
    <t xml:space="preserve">RAYGOSA </t>
  </si>
  <si>
    <t>BERENICE</t>
  </si>
  <si>
    <t>German</t>
  </si>
  <si>
    <t>OLGA PATRICIA VALDIVIA CARRILLO</t>
  </si>
  <si>
    <t>Corona</t>
  </si>
  <si>
    <t>Miguel</t>
  </si>
  <si>
    <t>JOSE ASCENCION JIMENEZ PONCE</t>
  </si>
  <si>
    <t>Operador de Maquina</t>
  </si>
  <si>
    <t>Alta 01-oct-2019.</t>
  </si>
  <si>
    <t>MARCO ANTONIO CASTAÑEDA</t>
  </si>
  <si>
    <t xml:space="preserve">AUX.ASEO GENERAL </t>
  </si>
  <si>
    <t xml:space="preserve">OSCAR PEÑA CARRILLO </t>
  </si>
  <si>
    <t>LUZ NAYELI LOPEZ RUBIO</t>
  </si>
  <si>
    <t>AUXILIAR EN TESORERIA</t>
  </si>
  <si>
    <t>Alta el 8 de Noviembre 2019</t>
  </si>
  <si>
    <t>AUXILIAR GENERAL</t>
  </si>
  <si>
    <t>RAFAEL  GONZALEZ VILLARREAL</t>
  </si>
  <si>
    <t xml:space="preserve">EL CARRIZO </t>
  </si>
  <si>
    <t>ALTA el 1 mayo de 2019</t>
  </si>
  <si>
    <t>ALTA EL 01 DICIEMBRE 2019</t>
  </si>
  <si>
    <t>LORENA BARAJAS LEON</t>
  </si>
  <si>
    <t>Jesus David</t>
  </si>
  <si>
    <t>alta el 01 enero de 2020</t>
  </si>
  <si>
    <t>MIGUEL CARRANZA BAÑUELOS</t>
  </si>
  <si>
    <t>ALTA EL 1 ENERO DE 2020</t>
  </si>
  <si>
    <t>CTA</t>
  </si>
  <si>
    <t>AUX DE INT EN LA PLAZA DE LA LABOR DE GUAD</t>
  </si>
  <si>
    <t xml:space="preserve">Yesenia </t>
  </si>
  <si>
    <t>MAXIMILIANO COVARRUBIAS HERNANDEZ</t>
  </si>
  <si>
    <t>ALTA-      01/01/2020</t>
  </si>
  <si>
    <t xml:space="preserve">Subsidio al Empleo </t>
  </si>
  <si>
    <t>KARINA PARDO OROZCO</t>
  </si>
  <si>
    <t>ALTA EL 1 DE ENERO 2020</t>
  </si>
  <si>
    <t>Briseño</t>
  </si>
  <si>
    <t>Bryan Santiago</t>
  </si>
  <si>
    <t>J. FELIZ LUNA PEREZ</t>
  </si>
  <si>
    <t>ALTA EL 1 DE FEBRERO 2020</t>
  </si>
  <si>
    <t>Iliana</t>
  </si>
  <si>
    <t>alta 8 de febrero de 2020</t>
  </si>
  <si>
    <t xml:space="preserve">                               AUTORIZO</t>
  </si>
  <si>
    <t>Del Corredor de Carrizo San Blasito a Hostotipaquillo</t>
  </si>
  <si>
    <t>ALEJANDRO FLORES RUBIO</t>
  </si>
  <si>
    <t xml:space="preserve">GARCIA </t>
  </si>
  <si>
    <t xml:space="preserve">ROBLES </t>
  </si>
  <si>
    <t>JOSEFINA</t>
  </si>
  <si>
    <t>JOSE MANUEL PALACIOS MORENO</t>
  </si>
  <si>
    <t xml:space="preserve">PRIMA EN JULIO Y ENERO </t>
  </si>
  <si>
    <t xml:space="preserve">PRIMA EN MARZO Y SEPTIEMBRE </t>
  </si>
  <si>
    <t xml:space="preserve">PRIMA EN GOSTO Y FEBRERO </t>
  </si>
  <si>
    <t>Prima  julio y enero</t>
  </si>
  <si>
    <t xml:space="preserve">Prima Abril y Octubre </t>
  </si>
  <si>
    <t xml:space="preserve">Prima Marzo Y septiembre </t>
  </si>
  <si>
    <t>Prima Noviembre y Mayo</t>
  </si>
  <si>
    <t>Prima Mayo y Noviembre</t>
  </si>
  <si>
    <t xml:space="preserve">Prima agosto y Febrero </t>
  </si>
  <si>
    <t>Prima Mayo y Diciembre</t>
  </si>
  <si>
    <t>Jose Luis</t>
  </si>
  <si>
    <t>Alta el 17 de marzo de 2020</t>
  </si>
  <si>
    <t xml:space="preserve">ALEJANDRA MONTES VICENCIO </t>
  </si>
  <si>
    <t xml:space="preserve">MARIO ALBERTO  GUIZAR BERNAL </t>
  </si>
  <si>
    <t>COORDINADORA DE DIRECCION ESTRATEGICA</t>
  </si>
  <si>
    <t xml:space="preserve">AUXILIAR DE OBRA PUBLICA </t>
  </si>
  <si>
    <t>RAUDEL VALDEZ MURO</t>
  </si>
  <si>
    <t>ALTA EL 1 FEBRERO 2020</t>
  </si>
  <si>
    <t>JAIMES</t>
  </si>
  <si>
    <t>BAÑUELOS</t>
  </si>
  <si>
    <t xml:space="preserve">AUX. DE PLAZA DE SAYULIMITA </t>
  </si>
  <si>
    <t>AUX. DE PLAZA DE CINCO MINAS</t>
  </si>
  <si>
    <t xml:space="preserve">OSCAR ADRIAN JIMENEZ VALDEZ </t>
  </si>
  <si>
    <t>AUXILIAR DE INFORMATICA</t>
  </si>
  <si>
    <t>ALTA-      01/03/2020</t>
  </si>
  <si>
    <t>Alta 03- Junio -2019</t>
  </si>
  <si>
    <t>PrIma Diciembre y junio.</t>
  </si>
  <si>
    <t>ALTA EL 1 MARZO 2020</t>
  </si>
  <si>
    <t>ALTA EL 01/03/2020</t>
  </si>
  <si>
    <t>ALTA 15 DE ENERO 2020</t>
  </si>
  <si>
    <t>Instructor de mariachi La Labor de Guadalupe y Hostotipaquillo</t>
  </si>
  <si>
    <t>ELBANGELINA</t>
  </si>
  <si>
    <t>AUXILIAR EN DESARROLLO RURAL</t>
  </si>
  <si>
    <t>ALTA EL 30 ABRIL 2020</t>
  </si>
  <si>
    <t>PRIMA OCTUBRE Y ABRIL.</t>
  </si>
  <si>
    <t>Paulino</t>
  </si>
  <si>
    <t xml:space="preserve">ALONDRA JANETH MONROY MIRAMONTES </t>
  </si>
  <si>
    <t>ALTA EN ENERO 2020</t>
  </si>
  <si>
    <t>ALTA EN NOV 2018</t>
  </si>
  <si>
    <t>VIRIDIANA RODRIGUEZ BRICEÑO</t>
  </si>
  <si>
    <t>JULIA BAUTISTA GARCIA</t>
  </si>
  <si>
    <t>ALTA EL 4 DE JUNIO 2020</t>
  </si>
  <si>
    <t>ALTA 16 DE JUNIO 2020</t>
  </si>
  <si>
    <t xml:space="preserve">AUXILIAR EN OBRA PUBLICA </t>
  </si>
  <si>
    <t>DIRECTORA DE CATASTRO</t>
  </si>
  <si>
    <t>Alta 7 de Julio 2020</t>
  </si>
  <si>
    <t xml:space="preserve">MENSUAL </t>
  </si>
  <si>
    <t xml:space="preserve">QUINCENAL </t>
  </si>
  <si>
    <t>Hiram Josafat</t>
  </si>
  <si>
    <t>alta 16 de gosto 2020</t>
  </si>
  <si>
    <t>Karina</t>
  </si>
  <si>
    <t>Oscar Rodolfo</t>
  </si>
  <si>
    <t>Vialidad</t>
  </si>
  <si>
    <t>C. ELPIDIO MACIAS GALINDO</t>
  </si>
  <si>
    <t>alta el 8 de mayo 2020</t>
  </si>
  <si>
    <t xml:space="preserve">PENSION POR JUBILACION </t>
  </si>
  <si>
    <t>PENSION POR INVALIDEZ</t>
  </si>
  <si>
    <t xml:space="preserve">TOTAL </t>
  </si>
  <si>
    <t>ALVARO CARRILLO LOPEZ</t>
  </si>
  <si>
    <t>PENSION AL 100%</t>
  </si>
  <si>
    <t>PENSION AL 90%</t>
  </si>
  <si>
    <t>PENSION AL 60%</t>
  </si>
  <si>
    <t>OFICIAL DE LINEA         ( PROTECCION CIVIL )</t>
  </si>
  <si>
    <t xml:space="preserve">MARIA DEL CONSUELO AMEZQUITA SANDOVAL </t>
  </si>
  <si>
    <t>PABLO VIALVA ENRIQUEZ</t>
  </si>
  <si>
    <t>ALTA 16 DE OCTUBRE 2020</t>
  </si>
  <si>
    <t>DIRECTOR DE DEPORTE</t>
  </si>
  <si>
    <t>AGUSTIN GONZALEZ PIZ</t>
  </si>
  <si>
    <t>Claudia</t>
  </si>
  <si>
    <t>Sandoval</t>
  </si>
  <si>
    <t>Guillermo</t>
  </si>
  <si>
    <t>ALTA EL 8 DE DIC. 2020</t>
  </si>
  <si>
    <t xml:space="preserve">EVENTUALES </t>
  </si>
  <si>
    <t xml:space="preserve">SUBTOTAL </t>
  </si>
  <si>
    <t xml:space="preserve">AUMENTO </t>
  </si>
  <si>
    <t xml:space="preserve">AUX GENERAL </t>
  </si>
  <si>
    <t xml:space="preserve">SUELDO NETO </t>
  </si>
  <si>
    <t>AUMENTO 4%</t>
  </si>
  <si>
    <t>Rojas</t>
  </si>
  <si>
    <t>Isela</t>
  </si>
  <si>
    <t>Gabriel</t>
  </si>
  <si>
    <t>alta el  21 de enero del 2021  (el primer pago se realizo con orden de pago )</t>
  </si>
  <si>
    <t>ALTA  EL 11 DE ENERO 2021</t>
  </si>
  <si>
    <t>alra del 7 de febrero 2021</t>
  </si>
  <si>
    <t>LEANDRO</t>
  </si>
  <si>
    <t>AUX. DE INT PLAZA DE LAS CIENEGAS</t>
  </si>
  <si>
    <t>ALTA -        15/02/2021</t>
  </si>
  <si>
    <t>cambio de sueldo apartir del 16 de febrero 2020</t>
  </si>
  <si>
    <t>GUILLERMO RAMON CORONA PALACIOS</t>
  </si>
  <si>
    <t>ALTA 8 DE MARZO 2021</t>
  </si>
  <si>
    <t>HIRAM ANGUIANO GARAY</t>
  </si>
  <si>
    <t>AUXILIAR DE OBRAS PUBLICAS</t>
  </si>
  <si>
    <t>David Alejandro</t>
  </si>
  <si>
    <t>Encargado</t>
  </si>
  <si>
    <t>ALT 01 DE MARZO 2021</t>
  </si>
  <si>
    <t>Instructora de Pintura Hostotipaquillo y Santo Tomas</t>
  </si>
  <si>
    <t>HORACIO PIZ MENDOZA</t>
  </si>
  <si>
    <t xml:space="preserve">   VISTO BUENO</t>
  </si>
  <si>
    <t>LIZBETH VERARIT MARTINEZ CARRILLO</t>
  </si>
  <si>
    <t>51</t>
  </si>
  <si>
    <t>Departamento 21 Desarrollo Rural</t>
  </si>
  <si>
    <t>Departamento 22 Transparencia</t>
  </si>
  <si>
    <t>Departamento 23 Contraloria</t>
  </si>
  <si>
    <t>Departamento 24 Promocion Economica</t>
  </si>
  <si>
    <t>DESCUENTO EN NOMINA</t>
  </si>
  <si>
    <t>MARIA DEL REFUGIO REYES AGUIRRE</t>
  </si>
  <si>
    <t>ALTA  EL 1 DE ABRIL 2021</t>
  </si>
  <si>
    <t>|</t>
  </si>
  <si>
    <t>SUPERVISOR DE OBRAS</t>
  </si>
  <si>
    <t>ALTA  15 DE ABRIL 2021</t>
  </si>
  <si>
    <t>VIRIDIANA SANCHEZ PALACIOS</t>
  </si>
  <si>
    <t>MONAY</t>
  </si>
  <si>
    <t>AVALOS</t>
  </si>
  <si>
    <t>RAUL</t>
  </si>
  <si>
    <t>ENCARGADO DE PANTEON DE LA COMUNIDAD DEL SAUCILLO</t>
  </si>
  <si>
    <t>ALTA -        15/05/2021</t>
  </si>
  <si>
    <t>ALTA EL 21 DE MAYO 2021</t>
  </si>
  <si>
    <t>ALTA EL 24 DE MAYO 2021</t>
  </si>
  <si>
    <t>C. JUAN ZENON TORRES CARRILLO</t>
  </si>
  <si>
    <t xml:space="preserve">C. ELPIDIO MACIAS GALINDO </t>
  </si>
  <si>
    <t>C.AMALIA CALDERA MARTINEZ</t>
  </si>
  <si>
    <t xml:space="preserve">JUAN CARLOS ARELLANO LUNA </t>
  </si>
  <si>
    <t>ALTA  24 DE MAYO 2021</t>
  </si>
  <si>
    <t xml:space="preserve">AUX. GENERAL </t>
  </si>
  <si>
    <t>NAVARRO</t>
  </si>
  <si>
    <t>MARIBEL</t>
  </si>
  <si>
    <t>ALTA 8 DE JUNIO 2021</t>
  </si>
  <si>
    <t xml:space="preserve">ANGEL DE JESUS CERVANTES RODRIGUEZ </t>
  </si>
  <si>
    <t>AUX GENERAL</t>
  </si>
  <si>
    <t xml:space="preserve">1 DE MAYO 2021 ( SE PAGO EL PRIMER MES EN ORDEN DE PAGO 9 </t>
  </si>
  <si>
    <t>CARLOS ARTURO MORALES MARQUEZ</t>
  </si>
  <si>
    <t xml:space="preserve">MARTIN MERCADO AVILA </t>
  </si>
  <si>
    <t xml:space="preserve">AUX. EN DEPARTAMENTO DE OBRAS </t>
  </si>
  <si>
    <t>SANDRA MARTINEZ CASTAÑEDA</t>
  </si>
  <si>
    <t xml:space="preserve">AUX. DE OFICIALIA MAYOR </t>
  </si>
  <si>
    <t>PRIMA VACACIONAL AGOSTO Y FEBRERO</t>
  </si>
  <si>
    <t xml:space="preserve">PRIMA VACACIONAL JULIO - ENERO </t>
  </si>
  <si>
    <t>PRIMA VACACIONAL ( FEBRERO Y AGOSTO )</t>
  </si>
  <si>
    <t>PRIMA VACACIONAL (FEBRERO  Y A GOSTO )</t>
  </si>
  <si>
    <t xml:space="preserve">SEPTIEMBRE Y MARZO </t>
  </si>
  <si>
    <t xml:space="preserve">PRIMA VACACIONAL ENERO Y JULIO </t>
  </si>
  <si>
    <t xml:space="preserve">PRIMA VACACIONAL NOVIEMBRE Y MAYO </t>
  </si>
  <si>
    <t xml:space="preserve">PRIMA VACACIONAL JULIO Y ENERO </t>
  </si>
  <si>
    <t xml:space="preserve">PRIMA VACACIONAL JUNIO Y DICIEMBRE </t>
  </si>
  <si>
    <t xml:space="preserve">PRIMA VACACIONAL MAYO Y NOVIEMBRE </t>
  </si>
  <si>
    <t>PRIMA ( ABRIL Y OCTUBRE )</t>
  </si>
  <si>
    <t>PRIMA ( ENERO Y JUNIO )</t>
  </si>
  <si>
    <t>PRIMA ( ENRO Y JUNIO )</t>
  </si>
  <si>
    <t>PRIMA ( JULIO Y ENERO )</t>
  </si>
  <si>
    <t>PRIMA ( SEPTIEMBRE Y MARZO)</t>
  </si>
  <si>
    <t>PRIMA ( AGOSTO Y FEBRERO )</t>
  </si>
  <si>
    <t>PRIMA ( DICIEMBRE Y JUNIO )</t>
  </si>
  <si>
    <t>PRIMA ( OCTUBRE Y ABRIL )</t>
  </si>
  <si>
    <t>PRIMA ( NOVIEMBRE A MAYO )</t>
  </si>
  <si>
    <t>MONROY</t>
  </si>
  <si>
    <t>COVARRUBIAS</t>
  </si>
  <si>
    <t>YOLANDA</t>
  </si>
  <si>
    <t>LARA</t>
  </si>
  <si>
    <t>AMALIA</t>
  </si>
  <si>
    <t>ALTA EL 16 DE JUNIO 2021</t>
  </si>
  <si>
    <t>MIRIAM MOTA CALDERON</t>
  </si>
  <si>
    <t xml:space="preserve">ILIANA CRISTINA ESPARZA RIOS </t>
  </si>
  <si>
    <t>REGRESO 16 DE JUNIO 2021</t>
  </si>
  <si>
    <t xml:space="preserve">C. ILIANA CRISTINA ESPARZA RIOS </t>
  </si>
  <si>
    <t xml:space="preserve">C. ILIANA CRISTINA ESPARZA  RIOS </t>
  </si>
  <si>
    <t xml:space="preserve">PRESIDENTE MUNICIPAL </t>
  </si>
  <si>
    <t>Alta  7 de junio 2021</t>
  </si>
  <si>
    <t>RAMIRO MEJIA PEÑA</t>
  </si>
  <si>
    <t>IVETTE CARRILLO LOERA</t>
  </si>
  <si>
    <t>Secretario de Desarrollo Rural</t>
  </si>
  <si>
    <t>Medrano</t>
  </si>
  <si>
    <t xml:space="preserve">Siordia </t>
  </si>
  <si>
    <t xml:space="preserve">Victor </t>
  </si>
  <si>
    <t>Ballet Folclorico</t>
  </si>
  <si>
    <t xml:space="preserve">Guzman </t>
  </si>
  <si>
    <t xml:space="preserve">Ibarra </t>
  </si>
  <si>
    <t>Lorena</t>
  </si>
  <si>
    <t xml:space="preserve">Charrerias Escaramuza </t>
  </si>
  <si>
    <t>Benavides</t>
  </si>
  <si>
    <t xml:space="preserve">Fabian Goaxicar </t>
  </si>
  <si>
    <t>Musico Banda Tradicional y Norteño</t>
  </si>
  <si>
    <t>RUVALCABA</t>
  </si>
  <si>
    <t>MIRAMONTES</t>
  </si>
  <si>
    <t>MIRELLA ELIZABETH</t>
  </si>
  <si>
    <t xml:space="preserve">VEGA CABRERA LETICIA </t>
  </si>
  <si>
    <t>ALTA 01/07/2021</t>
  </si>
  <si>
    <t>ALTA EL 01/ 07/2021</t>
  </si>
  <si>
    <t>KAREN ALEXIA CORTES VALDIVIA</t>
  </si>
  <si>
    <t xml:space="preserve">Rivera </t>
  </si>
  <si>
    <t>alta 01/07/2021</t>
  </si>
  <si>
    <t>Estela Jazmin</t>
  </si>
  <si>
    <t>PAGO DEL MES DE JULIO 2021</t>
  </si>
  <si>
    <t>H. Ayuntamiento de Hostotipaquillo Jal 2018-2021 Nomina Correspondiente al mes de Julio  2021</t>
  </si>
  <si>
    <t>EDUARDO ALEJANDRO CARRILLO GOMEZ</t>
  </si>
  <si>
    <t xml:space="preserve">MECANICO </t>
  </si>
  <si>
    <t>ALTA EL 12 DE JULIO 2021</t>
  </si>
  <si>
    <t xml:space="preserve">Roselia </t>
  </si>
  <si>
    <t>VENTUREÑO ROMAN DULCE LIZET</t>
  </si>
  <si>
    <t xml:space="preserve">REBAJAR 4 DIAS DEL MES DE JULIO </t>
  </si>
  <si>
    <t xml:space="preserve">FRANCISCO  JAVIER  GUIZAR BERNAL </t>
  </si>
  <si>
    <t>ALTA EL 01 JULIO 2021</t>
  </si>
  <si>
    <t xml:space="preserve">AUXILIAR CONTABLE </t>
  </si>
  <si>
    <t>Ledesma</t>
  </si>
  <si>
    <t>Padilla</t>
  </si>
  <si>
    <t>NOMINA DE REGIDORES DEL 01 AL 15  DE JULIO 2021</t>
  </si>
  <si>
    <t>NOMINA PERSONAL PERMANENTE DEL 01  AL 15 DE JULIO 2021</t>
  </si>
  <si>
    <t>NOMINA PERSONAL PERMANENTE DE 01  AL 15 DE JULIO    2021</t>
  </si>
  <si>
    <t>NOMINA PERSONAL PERMANENTE DEL 01 AL 15 JULIO   2021</t>
  </si>
  <si>
    <t>NOMINA PERSONAL PERMANENTE DEL 01 AL 15 DE JULIO   2021</t>
  </si>
  <si>
    <t>NOMINA PERSONAL PERMANENTE DEL  01 AL 15 DE JULIO DE   2021</t>
  </si>
  <si>
    <t>NOMINA PERSONAL PERMANENTE DEL 01 AL 15 DE JULIO  2021</t>
  </si>
  <si>
    <t>NOMINA PERSONAL PERMANENTE DEL 01 AL 15  DE JULIO  2021</t>
  </si>
  <si>
    <t>NOMINA  DEL 01 AL 15 DE JULIO  2021</t>
  </si>
  <si>
    <t>NOMINA DEL 01  AL 15 DE JULIO  DE 2021</t>
  </si>
  <si>
    <t>NOMINA DEL 01  AL 15 DE JULIO DEL 2021</t>
  </si>
  <si>
    <t>NOMINA DE PENSIONADOS DEL 01 AL 15  DE JULIO   2021</t>
  </si>
  <si>
    <t xml:space="preserve">                DEL 01 AL 15 DE JULIO DEL 2021</t>
  </si>
  <si>
    <t xml:space="preserve">Alan Osvaldo </t>
  </si>
  <si>
    <t>Auxiliar de 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</si>
</sst>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h:mm:ss\ AM/PM;@"/>
  </numFmts>
  <fonts count="100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3"/>
      <color theme="1"/>
      <name val="Arial Rounded MT Bold"/>
      <family val="2"/>
    </font>
    <font>
      <sz val="10"/>
      <color theme="1"/>
      <name val="Calibri"/>
      <family val="2"/>
      <scheme val="minor"/>
    </font>
    <font>
      <sz val="10"/>
      <color theme="3"/>
      <name val="Aharoni"/>
      <charset val="177"/>
    </font>
    <font>
      <sz val="8"/>
      <color rgb="FF000000"/>
      <name val="Arial"/>
      <family val="2"/>
    </font>
    <font>
      <sz val="9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color theme="3"/>
      <name val="Aharoni"/>
      <charset val="177"/>
    </font>
    <font>
      <b/>
      <sz val="8.5"/>
      <name val="Arial"/>
      <family val="2"/>
    </font>
    <font>
      <i/>
      <sz val="9"/>
      <color theme="1"/>
      <name val="Aharoni"/>
      <charset val="177"/>
    </font>
    <font>
      <sz val="9"/>
      <color theme="1"/>
      <name val="Aharoni"/>
      <charset val="177"/>
    </font>
    <font>
      <sz val="12"/>
      <color theme="1"/>
      <name val="Cooper Black"/>
      <family val="1"/>
    </font>
    <font>
      <b/>
      <i/>
      <sz val="9"/>
      <color theme="1"/>
      <name val="Arial"/>
      <family val="2"/>
    </font>
    <font>
      <b/>
      <sz val="9"/>
      <color theme="1"/>
      <name val="Cooper Black"/>
      <family val="1"/>
    </font>
    <font>
      <b/>
      <sz val="8"/>
      <color theme="1"/>
      <name val="Cooper Black"/>
      <family val="1"/>
    </font>
    <font>
      <b/>
      <sz val="9"/>
      <color theme="1"/>
      <name val="Arial Black"/>
      <family val="2"/>
    </font>
    <font>
      <sz val="8"/>
      <color theme="1"/>
      <name val="Calibri"/>
      <family val="2"/>
      <scheme val="minor"/>
    </font>
    <font>
      <b/>
      <i/>
      <sz val="9"/>
      <color theme="1"/>
      <name val="Arial Black"/>
      <family val="2"/>
    </font>
    <font>
      <b/>
      <sz val="8"/>
      <color theme="1"/>
      <name val="Arial Black"/>
      <family val="2"/>
    </font>
    <font>
      <b/>
      <i/>
      <sz val="9"/>
      <color theme="3"/>
      <name val="Arial Black"/>
      <family val="2"/>
    </font>
    <font>
      <b/>
      <sz val="9"/>
      <color theme="3"/>
      <name val="Arial Black"/>
      <family val="2"/>
    </font>
    <font>
      <b/>
      <i/>
      <sz val="8"/>
      <color theme="3"/>
      <name val="Arial Black"/>
      <family val="2"/>
    </font>
    <font>
      <i/>
      <sz val="10"/>
      <color theme="1"/>
      <name val="Aharoni"/>
      <charset val="177"/>
    </font>
    <font>
      <sz val="8"/>
      <name val="Arial"/>
      <family val="2"/>
    </font>
    <font>
      <b/>
      <i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Arial"/>
      <family val="2"/>
    </font>
    <font>
      <i/>
      <sz val="12"/>
      <color theme="1"/>
      <name val="Arial Black"/>
      <family val="2"/>
    </font>
    <font>
      <u/>
      <sz val="12"/>
      <color theme="1"/>
      <name val="Arial Rounded MT Bold"/>
      <family val="2"/>
    </font>
    <font>
      <i/>
      <sz val="12"/>
      <name val="Arial Black"/>
      <family val="2"/>
    </font>
    <font>
      <b/>
      <u/>
      <sz val="12"/>
      <color theme="1"/>
      <name val="Arial Unicode MS"/>
      <family val="2"/>
    </font>
    <font>
      <sz val="9"/>
      <color rgb="FF000000"/>
      <name val="Arial"/>
      <family val="2"/>
    </font>
    <font>
      <sz val="11"/>
      <color theme="1"/>
      <name val="Arial Black"/>
      <family val="2"/>
    </font>
    <font>
      <sz val="8"/>
      <color theme="1"/>
      <name val="Arial Black"/>
      <family val="2"/>
    </font>
    <font>
      <sz val="28"/>
      <color theme="1"/>
      <name val="Cooper Black"/>
      <family val="1"/>
    </font>
    <font>
      <sz val="16"/>
      <color theme="1"/>
      <name val="Arial Black"/>
      <family val="2"/>
    </font>
    <font>
      <sz val="14"/>
      <color theme="1"/>
      <name val="Arial Rounded MT Bold"/>
      <family val="2"/>
    </font>
    <font>
      <i/>
      <sz val="11"/>
      <color theme="1"/>
      <name val="Aharoni"/>
      <charset val="177"/>
    </font>
    <font>
      <b/>
      <i/>
      <u/>
      <sz val="9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2"/>
      <name val="Arial Unicode MS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9"/>
      <name val="Arial Black"/>
      <family val="2"/>
    </font>
    <font>
      <b/>
      <i/>
      <sz val="8"/>
      <color theme="1"/>
      <name val="Arial Black"/>
      <family val="2"/>
    </font>
    <font>
      <sz val="28"/>
      <color theme="1"/>
      <name val="Arial Black"/>
      <family val="2"/>
    </font>
    <font>
      <b/>
      <sz val="8"/>
      <color theme="8"/>
      <name val="Arial"/>
      <family val="2"/>
    </font>
    <font>
      <b/>
      <sz val="10"/>
      <color theme="7" tint="-0.249977111117893"/>
      <name val="Arial"/>
      <family val="2"/>
    </font>
    <font>
      <b/>
      <sz val="8"/>
      <color theme="7" tint="-0.249977111117893"/>
      <name val="Arial"/>
      <family val="2"/>
    </font>
    <font>
      <b/>
      <sz val="11"/>
      <color theme="7" tint="-0.249977111117893"/>
      <name val="Calibri"/>
      <family val="2"/>
      <scheme val="minor"/>
    </font>
    <font>
      <b/>
      <sz val="9"/>
      <color theme="7" tint="-0.249977111117893"/>
      <name val="Arial"/>
      <family val="2"/>
    </font>
    <font>
      <sz val="8"/>
      <color theme="7" tint="-0.249977111117893"/>
      <name val="Arial"/>
      <family val="2"/>
    </font>
    <font>
      <sz val="9"/>
      <color theme="7" tint="-0.249977111117893"/>
      <name val="Arial"/>
      <family val="2"/>
    </font>
    <font>
      <sz val="8"/>
      <color theme="7" tint="-0.249977111117893"/>
      <name val="Calibri"/>
      <family val="2"/>
      <scheme val="minor"/>
    </font>
    <font>
      <sz val="12"/>
      <color theme="7" tint="-0.249977111117893"/>
      <name val="Cooper Black"/>
      <family val="1"/>
    </font>
    <font>
      <b/>
      <sz val="8"/>
      <color theme="7" tint="-0.249977111117893"/>
      <name val="Cooper Black"/>
      <family val="1"/>
    </font>
    <font>
      <b/>
      <i/>
      <sz val="10"/>
      <color theme="7" tint="-0.249977111117893"/>
      <name val="Aharoni"/>
      <charset val="177"/>
    </font>
    <font>
      <sz val="10"/>
      <color theme="7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4"/>
      <color theme="7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i/>
      <sz val="12"/>
      <color rgb="FFAC193D"/>
      <name val="Calibri"/>
      <family val="2"/>
      <scheme val="minor"/>
    </font>
    <font>
      <sz val="8"/>
      <color rgb="FFFF0000"/>
      <name val="Arial"/>
      <family val="2"/>
    </font>
    <font>
      <b/>
      <sz val="8"/>
      <color theme="4" tint="0.79998168889431442"/>
      <name val="Arial"/>
      <family val="2"/>
    </font>
    <font>
      <b/>
      <i/>
      <sz val="9"/>
      <color theme="4" tint="0.79998168889431442"/>
      <name val="Arial"/>
      <family val="2"/>
    </font>
    <font>
      <b/>
      <sz val="9"/>
      <color theme="4" tint="0.79998168889431442"/>
      <name val="Cooper Black"/>
      <family val="1"/>
    </font>
    <font>
      <b/>
      <sz val="8"/>
      <color theme="4" tint="0.79998168889431442"/>
      <name val="Cooper Black"/>
      <family val="1"/>
    </font>
    <font>
      <b/>
      <sz val="9"/>
      <color theme="4" tint="0.79998168889431442"/>
      <name val="Arial Black"/>
      <family val="2"/>
    </font>
    <font>
      <b/>
      <sz val="9"/>
      <color theme="4" tint="0.79998168889431442"/>
      <name val="Arial"/>
      <family val="2"/>
    </font>
    <font>
      <b/>
      <i/>
      <sz val="9"/>
      <color theme="4" tint="0.79998168889431442"/>
      <name val="Arial Black"/>
      <family val="2"/>
    </font>
    <font>
      <b/>
      <sz val="8"/>
      <color theme="4" tint="0.79998168889431442"/>
      <name val="Arial Black"/>
      <family val="2"/>
    </font>
    <font>
      <b/>
      <i/>
      <sz val="8"/>
      <color theme="4" tint="0.79998168889431442"/>
      <name val="Arial Black"/>
      <family val="2"/>
    </font>
    <font>
      <sz val="10"/>
      <color theme="4" tint="0.79998168889431442"/>
      <name val="Aharoni"/>
      <charset val="177"/>
    </font>
    <font>
      <b/>
      <sz val="10"/>
      <color theme="4" tint="0.79998168889431442"/>
      <name val="Aharoni"/>
      <charset val="177"/>
    </font>
    <font>
      <sz val="11"/>
      <color theme="4" tint="0.79998168889431442"/>
      <name val="Calibri"/>
      <family val="2"/>
      <scheme val="minor"/>
    </font>
    <font>
      <sz val="14"/>
      <color theme="4" tint="0.79998168889431442"/>
      <name val="Arial"/>
      <family val="2"/>
    </font>
    <font>
      <b/>
      <sz val="8"/>
      <color theme="0" tint="-4.9989318521683403E-2"/>
      <name val="Arial"/>
      <family val="2"/>
    </font>
    <font>
      <b/>
      <sz val="8"/>
      <color theme="2"/>
      <name val="Arial"/>
      <family val="2"/>
    </font>
    <font>
      <b/>
      <sz val="11"/>
      <color theme="1"/>
      <name val="Arial"/>
      <family val="2"/>
    </font>
    <font>
      <b/>
      <sz val="9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5658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89E9C"/>
        <bgColor indexed="64"/>
      </patternFill>
    </fill>
    <fill>
      <patternFill patternType="solid">
        <fgColor rgb="FFE2FBC9"/>
        <bgColor indexed="64"/>
      </patternFill>
    </fill>
    <fill>
      <patternFill patternType="solid">
        <fgColor rgb="FFEAFCD8"/>
        <bgColor indexed="64"/>
      </patternFill>
    </fill>
  </fills>
  <borders count="49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rgb="FF0000FD"/>
      </left>
      <right style="thin">
        <color indexed="64"/>
      </right>
      <top style="thin">
        <color rgb="FF0000FD"/>
      </top>
      <bottom style="double">
        <color rgb="FF0000FD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FD"/>
      </right>
      <top/>
      <bottom style="thin">
        <color indexed="64"/>
      </bottom>
      <diagonal/>
    </border>
    <border>
      <left style="thin">
        <color rgb="FF0000FD"/>
      </left>
      <right style="thin">
        <color rgb="FF0000FD"/>
      </right>
      <top/>
      <bottom style="thin">
        <color indexed="64"/>
      </bottom>
      <diagonal/>
    </border>
    <border>
      <left style="thin">
        <color rgb="FF0000FD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rgb="FF0000FD"/>
      </top>
      <bottom style="thin">
        <color indexed="64"/>
      </bottom>
      <diagonal/>
    </border>
    <border>
      <left/>
      <right/>
      <top style="double">
        <color rgb="FF0000FD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FD"/>
      </left>
      <right/>
      <top/>
      <bottom style="thin">
        <color indexed="64"/>
      </bottom>
      <diagonal/>
    </border>
    <border>
      <left style="thin">
        <color rgb="FF0000FD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FD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747">
    <xf numFmtId="0" fontId="0" fillId="0" borderId="0" xfId="0"/>
    <xf numFmtId="0" fontId="1" fillId="2" borderId="5" xfId="0" applyFont="1" applyFill="1" applyBorder="1" applyAlignment="1">
      <alignment horizontal="center" vertical="center"/>
    </xf>
    <xf numFmtId="0" fontId="19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5" fillId="2" borderId="0" xfId="0" applyFont="1" applyFill="1" applyAlignment="1">
      <alignment vertical="center"/>
    </xf>
    <xf numFmtId="0" fontId="19" fillId="2" borderId="5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horizontal="right" vertical="center"/>
    </xf>
    <xf numFmtId="164" fontId="8" fillId="0" borderId="5" xfId="0" applyNumberFormat="1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5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Continuous" vertical="center"/>
    </xf>
    <xf numFmtId="0" fontId="15" fillId="0" borderId="5" xfId="0" applyFont="1" applyBorder="1" applyAlignment="1">
      <alignment horizontal="left" vertical="center"/>
    </xf>
    <xf numFmtId="49" fontId="5" fillId="0" borderId="5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43" fontId="1" fillId="0" borderId="5" xfId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49" fontId="5" fillId="0" borderId="21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right" vertical="center"/>
    </xf>
    <xf numFmtId="49" fontId="5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3" fontId="1" fillId="0" borderId="20" xfId="1" applyFont="1" applyBorder="1" applyAlignment="1">
      <alignment vertical="center"/>
    </xf>
    <xf numFmtId="43" fontId="1" fillId="0" borderId="10" xfId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20" xfId="0" applyFont="1" applyBorder="1" applyAlignment="1">
      <alignment horizontal="right" vertical="center"/>
    </xf>
    <xf numFmtId="49" fontId="1" fillId="0" borderId="1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44" fontId="17" fillId="0" borderId="0" xfId="2" applyFont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44" fontId="17" fillId="0" borderId="2" xfId="2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40" fillId="0" borderId="4" xfId="0" applyFont="1" applyBorder="1" applyAlignment="1">
      <alignment vertical="center"/>
    </xf>
    <xf numFmtId="44" fontId="17" fillId="0" borderId="0" xfId="2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44" fontId="17" fillId="0" borderId="4" xfId="2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7" fillId="2" borderId="0" xfId="0" applyFont="1" applyFill="1" applyAlignment="1">
      <alignment vertical="center"/>
    </xf>
    <xf numFmtId="44" fontId="17" fillId="2" borderId="0" xfId="2" applyFont="1" applyFill="1" applyAlignment="1">
      <alignment vertical="center"/>
    </xf>
    <xf numFmtId="0" fontId="17" fillId="2" borderId="15" xfId="0" applyFont="1" applyFill="1" applyBorder="1" applyAlignment="1">
      <alignment vertical="center"/>
    </xf>
    <xf numFmtId="12" fontId="13" fillId="2" borderId="5" xfId="0" applyNumberFormat="1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44" fontId="13" fillId="2" borderId="5" xfId="0" applyNumberFormat="1" applyFont="1" applyFill="1" applyBorder="1" applyAlignment="1">
      <alignment vertical="center"/>
    </xf>
    <xf numFmtId="44" fontId="13" fillId="2" borderId="5" xfId="2" applyFont="1" applyFill="1" applyBorder="1" applyAlignment="1">
      <alignment vertical="center"/>
    </xf>
    <xf numFmtId="44" fontId="13" fillId="0" borderId="5" xfId="2" applyFont="1" applyBorder="1" applyAlignment="1">
      <alignment vertical="center"/>
    </xf>
    <xf numFmtId="44" fontId="13" fillId="2" borderId="9" xfId="2" applyFont="1" applyFill="1" applyBorder="1" applyAlignment="1">
      <alignment vertical="center"/>
    </xf>
    <xf numFmtId="0" fontId="17" fillId="2" borderId="5" xfId="0" applyFont="1" applyFill="1" applyBorder="1" applyAlignment="1">
      <alignment vertical="center"/>
    </xf>
    <xf numFmtId="44" fontId="13" fillId="2" borderId="0" xfId="2" applyFont="1" applyFill="1" applyBorder="1" applyAlignment="1">
      <alignment vertical="center"/>
    </xf>
    <xf numFmtId="0" fontId="17" fillId="2" borderId="8" xfId="0" applyFont="1" applyFill="1" applyBorder="1" applyAlignment="1">
      <alignment vertical="center"/>
    </xf>
    <xf numFmtId="12" fontId="13" fillId="0" borderId="5" xfId="0" applyNumberFormat="1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44" fontId="13" fillId="0" borderId="5" xfId="0" applyNumberFormat="1" applyFont="1" applyBorder="1" applyAlignment="1">
      <alignment vertical="center"/>
    </xf>
    <xf numFmtId="44" fontId="13" fillId="0" borderId="5" xfId="2" applyFont="1" applyFill="1" applyBorder="1" applyAlignment="1">
      <alignment vertical="center"/>
    </xf>
    <xf numFmtId="43" fontId="17" fillId="2" borderId="8" xfId="1" applyFont="1" applyFill="1" applyBorder="1" applyAlignment="1">
      <alignment vertical="center"/>
    </xf>
    <xf numFmtId="0" fontId="20" fillId="0" borderId="5" xfId="0" applyFont="1" applyBorder="1" applyAlignment="1">
      <alignment vertical="center"/>
    </xf>
    <xf numFmtId="44" fontId="20" fillId="0" borderId="5" xfId="0" applyNumberFormat="1" applyFont="1" applyBorder="1" applyAlignment="1">
      <alignment vertical="center"/>
    </xf>
    <xf numFmtId="12" fontId="13" fillId="2" borderId="7" xfId="0" applyNumberFormat="1" applyFont="1" applyFill="1" applyBorder="1" applyAlignment="1">
      <alignment vertical="center"/>
    </xf>
    <xf numFmtId="0" fontId="13" fillId="2" borderId="7" xfId="0" applyFont="1" applyFill="1" applyBorder="1" applyAlignment="1">
      <alignment vertical="center"/>
    </xf>
    <xf numFmtId="44" fontId="13" fillId="2" borderId="7" xfId="0" applyNumberFormat="1" applyFont="1" applyFill="1" applyBorder="1" applyAlignment="1">
      <alignment vertical="center"/>
    </xf>
    <xf numFmtId="44" fontId="20" fillId="2" borderId="7" xfId="2" applyFont="1" applyFill="1" applyBorder="1" applyAlignment="1">
      <alignment vertical="center"/>
    </xf>
    <xf numFmtId="44" fontId="13" fillId="2" borderId="7" xfId="2" applyFont="1" applyFill="1" applyBorder="1" applyAlignment="1">
      <alignment vertical="center"/>
    </xf>
    <xf numFmtId="43" fontId="13" fillId="2" borderId="5" xfId="0" applyNumberFormat="1" applyFont="1" applyFill="1" applyBorder="1" applyAlignment="1">
      <alignment vertical="center"/>
    </xf>
    <xf numFmtId="44" fontId="20" fillId="2" borderId="5" xfId="0" applyNumberFormat="1" applyFont="1" applyFill="1" applyBorder="1" applyAlignment="1">
      <alignment vertical="center"/>
    </xf>
    <xf numFmtId="43" fontId="13" fillId="2" borderId="7" xfId="0" applyNumberFormat="1" applyFont="1" applyFill="1" applyBorder="1" applyAlignment="1">
      <alignment vertical="center"/>
    </xf>
    <xf numFmtId="0" fontId="17" fillId="2" borderId="18" xfId="0" applyFont="1" applyFill="1" applyBorder="1" applyAlignment="1">
      <alignment vertical="center"/>
    </xf>
    <xf numFmtId="44" fontId="21" fillId="2" borderId="0" xfId="2" applyFont="1" applyFill="1" applyAlignment="1">
      <alignment horizontal="center" vertical="center"/>
    </xf>
    <xf numFmtId="44" fontId="17" fillId="2" borderId="0" xfId="0" applyNumberFormat="1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44" fontId="23" fillId="2" borderId="0" xfId="2" applyFont="1" applyFill="1" applyBorder="1" applyAlignment="1">
      <alignment vertical="center"/>
    </xf>
    <xf numFmtId="44" fontId="10" fillId="2" borderId="0" xfId="2" applyFont="1" applyFill="1" applyBorder="1" applyAlignment="1">
      <alignment vertical="center"/>
    </xf>
    <xf numFmtId="0" fontId="18" fillId="2" borderId="4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9" fillId="0" borderId="5" xfId="0" applyFont="1" applyBorder="1" applyAlignment="1">
      <alignment vertical="center" wrapText="1"/>
    </xf>
    <xf numFmtId="0" fontId="40" fillId="0" borderId="0" xfId="0" applyFont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0" fillId="0" borderId="15" xfId="0" applyFont="1" applyBorder="1" applyAlignment="1">
      <alignment vertical="center"/>
    </xf>
    <xf numFmtId="44" fontId="13" fillId="0" borderId="9" xfId="2" applyFont="1" applyFill="1" applyBorder="1" applyAlignment="1">
      <alignment vertical="center"/>
    </xf>
    <xf numFmtId="2" fontId="31" fillId="0" borderId="8" xfId="0" applyNumberFormat="1" applyFont="1" applyBorder="1" applyAlignment="1">
      <alignment vertical="center"/>
    </xf>
    <xf numFmtId="2" fontId="31" fillId="0" borderId="0" xfId="0" applyNumberFormat="1" applyFont="1" applyAlignment="1">
      <alignment vertical="center"/>
    </xf>
    <xf numFmtId="44" fontId="3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1" fillId="2" borderId="5" xfId="0" applyFont="1" applyFill="1" applyBorder="1" applyAlignment="1">
      <alignment vertical="center"/>
    </xf>
    <xf numFmtId="0" fontId="20" fillId="2" borderId="5" xfId="0" applyFont="1" applyFill="1" applyBorder="1" applyAlignment="1">
      <alignment vertical="center"/>
    </xf>
    <xf numFmtId="2" fontId="41" fillId="0" borderId="8" xfId="0" applyNumberFormat="1" applyFont="1" applyBorder="1" applyAlignment="1">
      <alignment vertical="center"/>
    </xf>
    <xf numFmtId="44" fontId="13" fillId="0" borderId="7" xfId="2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38" fillId="0" borderId="0" xfId="0" applyFont="1" applyAlignment="1">
      <alignment vertical="center"/>
    </xf>
    <xf numFmtId="44" fontId="38" fillId="2" borderId="0" xfId="0" applyNumberFormat="1" applyFont="1" applyFill="1" applyAlignment="1">
      <alignment vertical="center"/>
    </xf>
    <xf numFmtId="44" fontId="42" fillId="0" borderId="0" xfId="2" applyFont="1" applyFill="1" applyBorder="1" applyAlignment="1">
      <alignment vertical="center"/>
    </xf>
    <xf numFmtId="44" fontId="42" fillId="0" borderId="0" xfId="0" applyNumberFormat="1" applyFont="1" applyAlignment="1">
      <alignment horizontal="center" vertical="center"/>
    </xf>
    <xf numFmtId="44" fontId="40" fillId="0" borderId="0" xfId="2" applyFont="1" applyAlignment="1">
      <alignment vertical="center"/>
    </xf>
    <xf numFmtId="0" fontId="13" fillId="2" borderId="5" xfId="0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7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31" fillId="0" borderId="7" xfId="0" applyFont="1" applyBorder="1" applyAlignment="1">
      <alignment vertical="center"/>
    </xf>
    <xf numFmtId="0" fontId="37" fillId="0" borderId="0" xfId="0" applyFont="1" applyAlignment="1">
      <alignment vertical="center"/>
    </xf>
    <xf numFmtId="44" fontId="31" fillId="0" borderId="0" xfId="2" applyFont="1" applyAlignment="1">
      <alignment vertical="center"/>
    </xf>
    <xf numFmtId="0" fontId="31" fillId="0" borderId="15" xfId="0" applyFont="1" applyBorder="1" applyAlignment="1">
      <alignment vertical="center"/>
    </xf>
    <xf numFmtId="44" fontId="1" fillId="0" borderId="5" xfId="2" applyFont="1" applyBorder="1" applyAlignment="1">
      <alignment vertical="center"/>
    </xf>
    <xf numFmtId="44" fontId="38" fillId="0" borderId="5" xfId="2" applyFont="1" applyBorder="1" applyAlignment="1">
      <alignment vertical="center"/>
    </xf>
    <xf numFmtId="44" fontId="13" fillId="0" borderId="9" xfId="0" applyNumberFormat="1" applyFont="1" applyBorder="1" applyAlignment="1">
      <alignment vertical="center"/>
    </xf>
    <xf numFmtId="0" fontId="31" fillId="0" borderId="8" xfId="0" applyFont="1" applyBorder="1" applyAlignment="1">
      <alignment vertical="center"/>
    </xf>
    <xf numFmtId="44" fontId="1" fillId="0" borderId="7" xfId="2" applyFont="1" applyBorder="1" applyAlignment="1">
      <alignment vertical="center"/>
    </xf>
    <xf numFmtId="0" fontId="31" fillId="0" borderId="5" xfId="0" applyFont="1" applyBorder="1" applyAlignment="1">
      <alignment vertical="center"/>
    </xf>
    <xf numFmtId="44" fontId="1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44" fontId="10" fillId="0" borderId="0" xfId="0" applyNumberFormat="1" applyFont="1" applyAlignment="1">
      <alignment vertical="center"/>
    </xf>
    <xf numFmtId="44" fontId="10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2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5" xfId="0" applyFont="1" applyBorder="1" applyAlignment="1">
      <alignment vertical="center"/>
    </xf>
    <xf numFmtId="44" fontId="0" fillId="0" borderId="0" xfId="2" applyFont="1" applyAlignment="1">
      <alignment vertical="center"/>
    </xf>
    <xf numFmtId="49" fontId="1" fillId="0" borderId="5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vertical="center"/>
    </xf>
    <xf numFmtId="44" fontId="0" fillId="3" borderId="0" xfId="2" applyFont="1" applyFill="1" applyAlignment="1">
      <alignment vertical="center"/>
    </xf>
    <xf numFmtId="44" fontId="0" fillId="2" borderId="0" xfId="2" applyFont="1" applyFill="1" applyAlignment="1">
      <alignment vertical="center"/>
    </xf>
    <xf numFmtId="0" fontId="0" fillId="2" borderId="0" xfId="0" applyFill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vertical="center"/>
    </xf>
    <xf numFmtId="44" fontId="0" fillId="7" borderId="0" xfId="0" applyNumberFormat="1" applyFill="1" applyAlignment="1">
      <alignment vertical="center"/>
    </xf>
    <xf numFmtId="0" fontId="10" fillId="2" borderId="0" xfId="0" applyFont="1" applyFill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/>
    <xf numFmtId="44" fontId="0" fillId="0" borderId="5" xfId="2" applyFont="1" applyBorder="1"/>
    <xf numFmtId="44" fontId="0" fillId="0" borderId="0" xfId="2" applyFont="1"/>
    <xf numFmtId="44" fontId="17" fillId="3" borderId="0" xfId="2" applyFont="1" applyFill="1" applyAlignment="1">
      <alignment vertical="center"/>
    </xf>
    <xf numFmtId="44" fontId="0" fillId="3" borderId="0" xfId="2" applyFont="1" applyFill="1"/>
    <xf numFmtId="44" fontId="14" fillId="2" borderId="5" xfId="2" applyFont="1" applyFill="1" applyBorder="1"/>
    <xf numFmtId="0" fontId="13" fillId="2" borderId="5" xfId="0" applyFont="1" applyFill="1" applyBorder="1" applyAlignment="1">
      <alignment horizontal="left"/>
    </xf>
    <xf numFmtId="0" fontId="13" fillId="2" borderId="5" xfId="0" applyFont="1" applyFill="1" applyBorder="1"/>
    <xf numFmtId="0" fontId="13" fillId="0" borderId="9" xfId="0" applyFont="1" applyBorder="1" applyAlignment="1">
      <alignment horizontal="center" vertical="center"/>
    </xf>
    <xf numFmtId="44" fontId="14" fillId="0" borderId="5" xfId="2" applyFont="1" applyBorder="1"/>
    <xf numFmtId="0" fontId="13" fillId="0" borderId="5" xfId="0" applyFont="1" applyBorder="1" applyAlignment="1">
      <alignment horizontal="left"/>
    </xf>
    <xf numFmtId="0" fontId="13" fillId="0" borderId="5" xfId="0" applyFont="1" applyBorder="1"/>
    <xf numFmtId="12" fontId="13" fillId="0" borderId="5" xfId="0" applyNumberFormat="1" applyFont="1" applyBorder="1" applyAlignment="1">
      <alignment horizontal="left"/>
    </xf>
    <xf numFmtId="0" fontId="48" fillId="0" borderId="5" xfId="0" applyFont="1" applyBorder="1"/>
    <xf numFmtId="0" fontId="48" fillId="0" borderId="7" xfId="0" applyFont="1" applyBorder="1"/>
    <xf numFmtId="0" fontId="50" fillId="2" borderId="0" xfId="0" applyFont="1" applyFill="1" applyAlignment="1">
      <alignment horizontal="center"/>
    </xf>
    <xf numFmtId="44" fontId="1" fillId="0" borderId="0" xfId="2" applyFont="1" applyAlignment="1">
      <alignment vertical="center"/>
    </xf>
    <xf numFmtId="44" fontId="40" fillId="3" borderId="0" xfId="0" applyNumberFormat="1" applyFont="1" applyFill="1" applyAlignment="1">
      <alignment vertical="center"/>
    </xf>
    <xf numFmtId="0" fontId="25" fillId="0" borderId="0" xfId="0" applyFont="1"/>
    <xf numFmtId="0" fontId="26" fillId="0" borderId="0" xfId="0" applyFont="1"/>
    <xf numFmtId="44" fontId="26" fillId="0" borderId="0" xfId="2" applyFont="1" applyAlignment="1"/>
    <xf numFmtId="0" fontId="28" fillId="0" borderId="3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10" fillId="0" borderId="3" xfId="0" applyFont="1" applyBorder="1"/>
    <xf numFmtId="44" fontId="30" fillId="0" borderId="9" xfId="2" applyFont="1" applyBorder="1" applyAlignment="1">
      <alignment horizontal="center"/>
    </xf>
    <xf numFmtId="0" fontId="10" fillId="0" borderId="10" xfId="0" applyFont="1" applyBorder="1"/>
    <xf numFmtId="0" fontId="30" fillId="0" borderId="10" xfId="0" applyFont="1" applyBorder="1"/>
    <xf numFmtId="0" fontId="37" fillId="0" borderId="0" xfId="0" applyFont="1"/>
    <xf numFmtId="0" fontId="31" fillId="0" borderId="0" xfId="0" applyFont="1"/>
    <xf numFmtId="44" fontId="31" fillId="0" borderId="0" xfId="2" applyFont="1"/>
    <xf numFmtId="0" fontId="14" fillId="0" borderId="5" xfId="0" applyFont="1" applyBorder="1"/>
    <xf numFmtId="44" fontId="14" fillId="0" borderId="5" xfId="0" applyNumberFormat="1" applyFont="1" applyBorder="1"/>
    <xf numFmtId="0" fontId="0" fillId="0" borderId="14" xfId="0" applyBorder="1"/>
    <xf numFmtId="0" fontId="13" fillId="0" borderId="7" xfId="0" applyFont="1" applyBorder="1"/>
    <xf numFmtId="0" fontId="55" fillId="0" borderId="5" xfId="0" applyFont="1" applyBorder="1"/>
    <xf numFmtId="0" fontId="56" fillId="0" borderId="8" xfId="0" applyFont="1" applyBorder="1"/>
    <xf numFmtId="0" fontId="17" fillId="0" borderId="0" xfId="0" applyFont="1"/>
    <xf numFmtId="44" fontId="15" fillId="0" borderId="30" xfId="0" applyNumberFormat="1" applyFont="1" applyBorder="1"/>
    <xf numFmtId="0" fontId="55" fillId="0" borderId="0" xfId="0" applyFont="1"/>
    <xf numFmtId="0" fontId="56" fillId="0" borderId="0" xfId="0" applyFont="1"/>
    <xf numFmtId="44" fontId="17" fillId="0" borderId="0" xfId="0" applyNumberFormat="1" applyFont="1"/>
    <xf numFmtId="44" fontId="17" fillId="0" borderId="0" xfId="2" applyFont="1" applyBorder="1"/>
    <xf numFmtId="0" fontId="0" fillId="0" borderId="4" xfId="0" applyBorder="1"/>
    <xf numFmtId="0" fontId="10" fillId="0" borderId="0" xfId="0" applyFont="1"/>
    <xf numFmtId="0" fontId="13" fillId="0" borderId="0" xfId="0" applyFont="1"/>
    <xf numFmtId="44" fontId="13" fillId="0" borderId="0" xfId="2" applyFont="1"/>
    <xf numFmtId="164" fontId="12" fillId="3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32" xfId="0" applyBorder="1"/>
    <xf numFmtId="0" fontId="1" fillId="0" borderId="33" xfId="0" applyFont="1" applyBorder="1" applyAlignment="1">
      <alignment vertical="center"/>
    </xf>
    <xf numFmtId="43" fontId="31" fillId="0" borderId="0" xfId="1" applyFont="1" applyFill="1" applyAlignment="1">
      <alignment vertical="center"/>
    </xf>
    <xf numFmtId="0" fontId="13" fillId="0" borderId="7" xfId="0" applyFont="1" applyBorder="1" applyAlignment="1">
      <alignment vertical="center"/>
    </xf>
    <xf numFmtId="44" fontId="0" fillId="0" borderId="0" xfId="2" applyFont="1" applyBorder="1"/>
    <xf numFmtId="0" fontId="1" fillId="0" borderId="5" xfId="0" applyFont="1" applyBorder="1" applyAlignment="1">
      <alignment vertical="center" wrapText="1"/>
    </xf>
    <xf numFmtId="44" fontId="0" fillId="0" borderId="0" xfId="0" applyNumberFormat="1"/>
    <xf numFmtId="8" fontId="0" fillId="0" borderId="0" xfId="0" applyNumberFormat="1"/>
    <xf numFmtId="44" fontId="0" fillId="4" borderId="5" xfId="2" applyFont="1" applyFill="1" applyBorder="1"/>
    <xf numFmtId="44" fontId="0" fillId="4" borderId="0" xfId="0" applyNumberFormat="1" applyFill="1"/>
    <xf numFmtId="0" fontId="0" fillId="8" borderId="5" xfId="0" applyFill="1" applyBorder="1"/>
    <xf numFmtId="8" fontId="0" fillId="0" borderId="0" xfId="2" applyNumberFormat="1" applyFont="1" applyBorder="1"/>
    <xf numFmtId="44" fontId="0" fillId="4" borderId="0" xfId="2" applyFont="1" applyFill="1" applyBorder="1"/>
    <xf numFmtId="44" fontId="58" fillId="0" borderId="0" xfId="0" applyNumberFormat="1" applyFont="1"/>
    <xf numFmtId="0" fontId="58" fillId="0" borderId="0" xfId="0" applyFont="1"/>
    <xf numFmtId="0" fontId="0" fillId="0" borderId="34" xfId="0" applyBorder="1"/>
    <xf numFmtId="44" fontId="0" fillId="0" borderId="34" xfId="0" applyNumberFormat="1" applyBorder="1"/>
    <xf numFmtId="44" fontId="0" fillId="9" borderId="17" xfId="0" applyNumberFormat="1" applyFill="1" applyBorder="1"/>
    <xf numFmtId="0" fontId="58" fillId="0" borderId="35" xfId="0" applyFont="1" applyBorder="1" applyAlignment="1">
      <alignment horizontal="center"/>
    </xf>
    <xf numFmtId="0" fontId="0" fillId="0" borderId="5" xfId="0" applyBorder="1" applyAlignment="1">
      <alignment horizontal="center"/>
    </xf>
    <xf numFmtId="43" fontId="0" fillId="0" borderId="0" xfId="1" applyFont="1"/>
    <xf numFmtId="0" fontId="59" fillId="0" borderId="0" xfId="0" applyFont="1" applyAlignment="1">
      <alignment horizontal="center"/>
    </xf>
    <xf numFmtId="0" fontId="59" fillId="0" borderId="0" xfId="0" applyFont="1"/>
    <xf numFmtId="43" fontId="0" fillId="0" borderId="0" xfId="1" applyFont="1" applyAlignment="1">
      <alignment horizontal="right"/>
    </xf>
    <xf numFmtId="0" fontId="0" fillId="0" borderId="0" xfId="0" applyAlignment="1">
      <alignment horizontal="right"/>
    </xf>
    <xf numFmtId="44" fontId="0" fillId="0" borderId="5" xfId="1" applyNumberFormat="1" applyFont="1" applyFill="1" applyBorder="1"/>
    <xf numFmtId="43" fontId="0" fillId="2" borderId="0" xfId="1" applyFont="1" applyFill="1" applyBorder="1"/>
    <xf numFmtId="0" fontId="0" fillId="0" borderId="6" xfId="0" applyBorder="1"/>
    <xf numFmtId="44" fontId="0" fillId="2" borderId="6" xfId="1" applyNumberFormat="1" applyFont="1" applyFill="1" applyBorder="1"/>
    <xf numFmtId="2" fontId="31" fillId="3" borderId="0" xfId="0" applyNumberFormat="1" applyFont="1" applyFill="1" applyAlignment="1">
      <alignment vertical="center"/>
    </xf>
    <xf numFmtId="43" fontId="31" fillId="3" borderId="0" xfId="1" applyFont="1" applyFill="1" applyAlignment="1">
      <alignment vertical="center"/>
    </xf>
    <xf numFmtId="0" fontId="58" fillId="0" borderId="0" xfId="0" applyFont="1" applyAlignment="1">
      <alignment horizontal="center"/>
    </xf>
    <xf numFmtId="43" fontId="0" fillId="0" borderId="0" xfId="0" applyNumberFormat="1"/>
    <xf numFmtId="0" fontId="51" fillId="0" borderId="0" xfId="0" applyFont="1" applyAlignment="1">
      <alignment horizontal="center"/>
    </xf>
    <xf numFmtId="0" fontId="48" fillId="0" borderId="5" xfId="0" applyFont="1" applyBorder="1" applyAlignment="1">
      <alignment horizontal="center"/>
    </xf>
    <xf numFmtId="44" fontId="0" fillId="10" borderId="5" xfId="2" applyFont="1" applyFill="1" applyBorder="1"/>
    <xf numFmtId="0" fontId="1" fillId="0" borderId="5" xfId="0" applyFont="1" applyBorder="1"/>
    <xf numFmtId="0" fontId="21" fillId="0" borderId="4" xfId="0" applyFon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4" fontId="10" fillId="3" borderId="38" xfId="0" applyNumberFormat="1" applyFont="1" applyFill="1" applyBorder="1" applyAlignment="1">
      <alignment vertical="center"/>
    </xf>
    <xf numFmtId="44" fontId="1" fillId="0" borderId="5" xfId="0" applyNumberFormat="1" applyFont="1" applyBorder="1" applyAlignment="1">
      <alignment vertical="center"/>
    </xf>
    <xf numFmtId="43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2" applyNumberFormat="1" applyFont="1" applyAlignment="1">
      <alignment horizontal="right" vertical="center"/>
    </xf>
    <xf numFmtId="164" fontId="0" fillId="0" borderId="0" xfId="0" applyNumberFormat="1" applyAlignment="1">
      <alignment vertical="center"/>
    </xf>
    <xf numFmtId="43" fontId="1" fillId="0" borderId="0" xfId="0" applyNumberFormat="1" applyFont="1" applyAlignment="1">
      <alignment horizontal="right" vertical="center"/>
    </xf>
    <xf numFmtId="44" fontId="40" fillId="0" borderId="0" xfId="0" applyNumberFormat="1" applyFont="1" applyAlignment="1">
      <alignment vertical="center"/>
    </xf>
    <xf numFmtId="43" fontId="15" fillId="0" borderId="31" xfId="1" applyFont="1" applyBorder="1"/>
    <xf numFmtId="43" fontId="1" fillId="0" borderId="0" xfId="1" applyFont="1" applyAlignment="1">
      <alignment vertical="center"/>
    </xf>
    <xf numFmtId="0" fontId="13" fillId="2" borderId="5" xfId="0" applyFont="1" applyFill="1" applyBorder="1" applyAlignment="1">
      <alignment wrapText="1"/>
    </xf>
    <xf numFmtId="44" fontId="0" fillId="0" borderId="4" xfId="0" applyNumberFormat="1" applyBorder="1"/>
    <xf numFmtId="44" fontId="14" fillId="0" borderId="5" xfId="2" applyFont="1" applyFill="1" applyBorder="1"/>
    <xf numFmtId="0" fontId="0" fillId="2" borderId="5" xfId="0" applyFill="1" applyBorder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3" fontId="1" fillId="0" borderId="5" xfId="0" applyNumberFormat="1" applyFont="1" applyBorder="1" applyAlignment="1">
      <alignment vertical="center"/>
    </xf>
    <xf numFmtId="0" fontId="1" fillId="0" borderId="8" xfId="0" applyFont="1" applyBorder="1" applyAlignment="1">
      <alignment horizontal="right" vertical="center"/>
    </xf>
    <xf numFmtId="0" fontId="1" fillId="0" borderId="5" xfId="0" applyFont="1" applyBorder="1" applyAlignment="1">
      <alignment horizontal="center"/>
    </xf>
    <xf numFmtId="14" fontId="0" fillId="0" borderId="0" xfId="0" applyNumberFormat="1"/>
    <xf numFmtId="0" fontId="0" fillId="0" borderId="2" xfId="0" applyBorder="1" applyAlignment="1">
      <alignment vertical="center"/>
    </xf>
    <xf numFmtId="164" fontId="1" fillId="0" borderId="0" xfId="2" applyNumberFormat="1" applyFont="1" applyFill="1" applyAlignment="1">
      <alignment vertical="center"/>
    </xf>
    <xf numFmtId="44" fontId="1" fillId="11" borderId="0" xfId="2" applyFont="1" applyFill="1" applyAlignment="1">
      <alignment vertical="center"/>
    </xf>
    <xf numFmtId="43" fontId="0" fillId="0" borderId="5" xfId="1" applyFont="1" applyBorder="1"/>
    <xf numFmtId="43" fontId="59" fillId="0" borderId="0" xfId="1" applyFont="1"/>
    <xf numFmtId="43" fontId="0" fillId="0" borderId="5" xfId="1" applyFont="1" applyFill="1" applyBorder="1"/>
    <xf numFmtId="43" fontId="0" fillId="0" borderId="0" xfId="1" applyFont="1" applyBorder="1"/>
    <xf numFmtId="43" fontId="0" fillId="0" borderId="6" xfId="1" applyFont="1" applyBorder="1"/>
    <xf numFmtId="0" fontId="60" fillId="5" borderId="0" xfId="0" applyFont="1" applyFill="1" applyAlignment="1">
      <alignment horizontal="center" vertical="center"/>
    </xf>
    <xf numFmtId="44" fontId="1" fillId="2" borderId="7" xfId="2" applyFont="1" applyFill="1" applyBorder="1" applyAlignment="1">
      <alignment vertical="center"/>
    </xf>
    <xf numFmtId="14" fontId="0" fillId="0" borderId="0" xfId="0" applyNumberFormat="1" applyAlignment="1">
      <alignment vertical="center"/>
    </xf>
    <xf numFmtId="165" fontId="0" fillId="0" borderId="0" xfId="0" applyNumberFormat="1"/>
    <xf numFmtId="0" fontId="62" fillId="2" borderId="0" xfId="0" applyFont="1" applyFill="1" applyAlignment="1">
      <alignment horizontal="center"/>
    </xf>
    <xf numFmtId="17" fontId="0" fillId="0" borderId="0" xfId="0" applyNumberFormat="1"/>
    <xf numFmtId="0" fontId="1" fillId="0" borderId="8" xfId="0" applyFont="1" applyBorder="1" applyAlignment="1">
      <alignment vertical="center"/>
    </xf>
    <xf numFmtId="44" fontId="0" fillId="0" borderId="41" xfId="2" applyFont="1" applyBorder="1"/>
    <xf numFmtId="44" fontId="14" fillId="0" borderId="14" xfId="0" applyNumberFormat="1" applyFont="1" applyBorder="1"/>
    <xf numFmtId="44" fontId="14" fillId="12" borderId="14" xfId="0" applyNumberFormat="1" applyFont="1" applyFill="1" applyBorder="1"/>
    <xf numFmtId="0" fontId="10" fillId="0" borderId="5" xfId="0" applyFont="1" applyBorder="1"/>
    <xf numFmtId="0" fontId="35" fillId="0" borderId="5" xfId="0" applyFont="1" applyBorder="1"/>
    <xf numFmtId="0" fontId="34" fillId="0" borderId="5" xfId="0" applyFont="1" applyBorder="1"/>
    <xf numFmtId="0" fontId="35" fillId="0" borderId="5" xfId="0" applyFont="1" applyBorder="1" applyAlignment="1">
      <alignment horizontal="center"/>
    </xf>
    <xf numFmtId="44" fontId="14" fillId="0" borderId="11" xfId="0" applyNumberFormat="1" applyFont="1" applyBorder="1"/>
    <xf numFmtId="44" fontId="15" fillId="3" borderId="17" xfId="0" applyNumberFormat="1" applyFont="1" applyFill="1" applyBorder="1"/>
    <xf numFmtId="44" fontId="15" fillId="3" borderId="24" xfId="0" applyNumberFormat="1" applyFont="1" applyFill="1" applyBorder="1"/>
    <xf numFmtId="44" fontId="14" fillId="12" borderId="9" xfId="0" applyNumberFormat="1" applyFont="1" applyFill="1" applyBorder="1"/>
    <xf numFmtId="0" fontId="26" fillId="0" borderId="19" xfId="0" applyFont="1" applyBorder="1"/>
    <xf numFmtId="0" fontId="1" fillId="0" borderId="0" xfId="0" applyFont="1" applyAlignment="1">
      <alignment vertical="center" wrapText="1"/>
    </xf>
    <xf numFmtId="164" fontId="38" fillId="0" borderId="5" xfId="0" applyNumberFormat="1" applyFont="1" applyBorder="1" applyAlignment="1">
      <alignment vertical="center"/>
    </xf>
    <xf numFmtId="0" fontId="63" fillId="0" borderId="0" xfId="0" applyFont="1" applyAlignment="1">
      <alignment vertical="center"/>
    </xf>
    <xf numFmtId="0" fontId="13" fillId="0" borderId="5" xfId="0" applyFont="1" applyBorder="1" applyAlignment="1">
      <alignment wrapText="1"/>
    </xf>
    <xf numFmtId="2" fontId="31" fillId="0" borderId="5" xfId="0" applyNumberFormat="1" applyFont="1" applyBorder="1" applyAlignment="1">
      <alignment vertical="center"/>
    </xf>
    <xf numFmtId="44" fontId="0" fillId="13" borderId="0" xfId="0" applyNumberFormat="1" applyFill="1"/>
    <xf numFmtId="43" fontId="0" fillId="0" borderId="34" xfId="0" applyNumberFormat="1" applyBorder="1"/>
    <xf numFmtId="43" fontId="0" fillId="4" borderId="0" xfId="1" applyFont="1" applyFill="1"/>
    <xf numFmtId="43" fontId="64" fillId="0" borderId="5" xfId="1" applyFont="1" applyBorder="1" applyAlignment="1">
      <alignment horizontal="left" vertical="center"/>
    </xf>
    <xf numFmtId="43" fontId="65" fillId="0" borderId="5" xfId="1" applyFont="1" applyFill="1" applyBorder="1" applyAlignment="1">
      <alignment vertical="center"/>
    </xf>
    <xf numFmtId="43" fontId="65" fillId="0" borderId="5" xfId="1" applyFont="1" applyFill="1" applyBorder="1" applyAlignment="1">
      <alignment horizontal="center" vertical="center"/>
    </xf>
    <xf numFmtId="43" fontId="64" fillId="0" borderId="0" xfId="1" applyFont="1" applyBorder="1" applyAlignment="1">
      <alignment horizontal="left" vertical="center"/>
    </xf>
    <xf numFmtId="43" fontId="65" fillId="0" borderId="6" xfId="1" applyFont="1" applyFill="1" applyBorder="1" applyAlignment="1">
      <alignment horizontal="right" vertical="center"/>
    </xf>
    <xf numFmtId="43" fontId="65" fillId="0" borderId="0" xfId="1" applyFont="1" applyFill="1" applyBorder="1" applyAlignment="1">
      <alignment vertical="center"/>
    </xf>
    <xf numFmtId="43" fontId="65" fillId="0" borderId="0" xfId="1" applyFont="1" applyFill="1" applyAlignment="1">
      <alignment vertical="center"/>
    </xf>
    <xf numFmtId="43" fontId="65" fillId="0" borderId="4" xfId="1" applyFont="1" applyFill="1" applyBorder="1" applyAlignment="1">
      <alignment vertical="center"/>
    </xf>
    <xf numFmtId="43" fontId="65" fillId="0" borderId="6" xfId="1" applyFont="1" applyBorder="1" applyAlignment="1">
      <alignment horizontal="right" vertical="center"/>
    </xf>
    <xf numFmtId="43" fontId="65" fillId="0" borderId="0" xfId="1" applyFont="1" applyAlignment="1">
      <alignment vertical="center"/>
    </xf>
    <xf numFmtId="43" fontId="65" fillId="0" borderId="0" xfId="1" applyFont="1" applyBorder="1" applyAlignment="1">
      <alignment vertical="center"/>
    </xf>
    <xf numFmtId="43" fontId="65" fillId="0" borderId="5" xfId="1" applyFont="1" applyBorder="1" applyAlignment="1">
      <alignment horizontal="center" vertical="center"/>
    </xf>
    <xf numFmtId="43" fontId="65" fillId="0" borderId="0" xfId="1" applyFont="1" applyFill="1" applyBorder="1" applyAlignment="1">
      <alignment horizontal="center" vertical="center" wrapText="1"/>
    </xf>
    <xf numFmtId="43" fontId="65" fillId="0" borderId="5" xfId="1" applyFont="1" applyFill="1" applyBorder="1" applyAlignment="1">
      <alignment horizontal="center"/>
    </xf>
    <xf numFmtId="43" fontId="66" fillId="0" borderId="0" xfId="1" applyFont="1" applyFill="1" applyBorder="1"/>
    <xf numFmtId="43" fontId="67" fillId="0" borderId="0" xfId="1" applyFont="1" applyBorder="1" applyAlignment="1">
      <alignment horizontal="center" vertical="center"/>
    </xf>
    <xf numFmtId="43" fontId="65" fillId="0" borderId="4" xfId="1" applyFont="1" applyBorder="1" applyAlignment="1">
      <alignment horizontal="center" vertical="center"/>
    </xf>
    <xf numFmtId="43" fontId="68" fillId="0" borderId="5" xfId="1" applyFont="1" applyFill="1" applyBorder="1" applyAlignment="1">
      <alignment vertical="center"/>
    </xf>
    <xf numFmtId="43" fontId="68" fillId="2" borderId="5" xfId="1" applyFont="1" applyFill="1" applyBorder="1" applyAlignment="1">
      <alignment vertical="center"/>
    </xf>
    <xf numFmtId="43" fontId="68" fillId="0" borderId="7" xfId="1" applyFont="1" applyFill="1" applyBorder="1" applyAlignment="1">
      <alignment vertical="center"/>
    </xf>
    <xf numFmtId="43" fontId="69" fillId="0" borderId="5" xfId="1" applyFont="1" applyFill="1" applyBorder="1" applyAlignment="1">
      <alignment vertical="center"/>
    </xf>
    <xf numFmtId="43" fontId="70" fillId="0" borderId="0" xfId="1" applyFont="1" applyBorder="1" applyAlignment="1">
      <alignment vertical="center"/>
    </xf>
    <xf numFmtId="43" fontId="70" fillId="0" borderId="4" xfId="1" applyFont="1" applyBorder="1" applyAlignment="1">
      <alignment vertical="center"/>
    </xf>
    <xf numFmtId="43" fontId="71" fillId="0" borderId="0" xfId="1" applyFont="1" applyAlignment="1">
      <alignment vertical="center"/>
    </xf>
    <xf numFmtId="43" fontId="72" fillId="0" borderId="0" xfId="1" applyFont="1" applyAlignment="1">
      <alignment horizontal="center" vertical="center"/>
    </xf>
    <xf numFmtId="43" fontId="70" fillId="0" borderId="0" xfId="1" applyFont="1" applyAlignment="1">
      <alignment vertical="center"/>
    </xf>
    <xf numFmtId="43" fontId="68" fillId="0" borderId="5" xfId="1" applyFont="1" applyBorder="1" applyAlignment="1">
      <alignment vertical="center"/>
    </xf>
    <xf numFmtId="43" fontId="68" fillId="0" borderId="7" xfId="1" applyFont="1" applyBorder="1" applyAlignment="1">
      <alignment vertical="center"/>
    </xf>
    <xf numFmtId="43" fontId="70" fillId="0" borderId="5" xfId="1" applyFont="1" applyBorder="1" applyAlignment="1">
      <alignment vertical="center"/>
    </xf>
    <xf numFmtId="43" fontId="73" fillId="0" borderId="0" xfId="1" applyFont="1" applyBorder="1" applyAlignment="1">
      <alignment horizontal="center" vertical="center"/>
    </xf>
    <xf numFmtId="43" fontId="64" fillId="0" borderId="0" xfId="1" applyFont="1" applyBorder="1" applyAlignment="1">
      <alignment vertical="center"/>
    </xf>
    <xf numFmtId="0" fontId="74" fillId="0" borderId="2" xfId="0" applyFont="1" applyBorder="1" applyAlignment="1">
      <alignment vertical="center"/>
    </xf>
    <xf numFmtId="0" fontId="74" fillId="0" borderId="0" xfId="0" applyFont="1" applyAlignment="1">
      <alignment vertical="center"/>
    </xf>
    <xf numFmtId="0" fontId="74" fillId="0" borderId="4" xfId="0" applyFont="1" applyBorder="1" applyAlignment="1">
      <alignment vertical="center"/>
    </xf>
    <xf numFmtId="0" fontId="74" fillId="2" borderId="0" xfId="0" applyFont="1" applyFill="1" applyAlignment="1">
      <alignment vertical="center"/>
    </xf>
    <xf numFmtId="44" fontId="69" fillId="2" borderId="5" xfId="0" applyNumberFormat="1" applyFont="1" applyFill="1" applyBorder="1" applyAlignment="1">
      <alignment vertical="center"/>
    </xf>
    <xf numFmtId="44" fontId="69" fillId="0" borderId="5" xfId="0" applyNumberFormat="1" applyFont="1" applyBorder="1" applyAlignment="1">
      <alignment vertical="center"/>
    </xf>
    <xf numFmtId="44" fontId="69" fillId="2" borderId="7" xfId="0" applyNumberFormat="1" applyFont="1" applyFill="1" applyBorder="1" applyAlignment="1">
      <alignment vertical="center"/>
    </xf>
    <xf numFmtId="43" fontId="69" fillId="2" borderId="5" xfId="0" applyNumberFormat="1" applyFont="1" applyFill="1" applyBorder="1" applyAlignment="1">
      <alignment vertical="center"/>
    </xf>
    <xf numFmtId="43" fontId="69" fillId="2" borderId="7" xfId="0" applyNumberFormat="1" applyFont="1" applyFill="1" applyBorder="1" applyAlignment="1">
      <alignment vertical="center"/>
    </xf>
    <xf numFmtId="0" fontId="73" fillId="2" borderId="0" xfId="0" applyFont="1" applyFill="1" applyAlignment="1">
      <alignment horizontal="center" vertical="center"/>
    </xf>
    <xf numFmtId="43" fontId="75" fillId="0" borderId="0" xfId="1" applyFont="1"/>
    <xf numFmtId="43" fontId="76" fillId="0" borderId="0" xfId="1" applyFont="1"/>
    <xf numFmtId="43" fontId="75" fillId="0" borderId="5" xfId="1" applyFont="1" applyBorder="1"/>
    <xf numFmtId="43" fontId="75" fillId="0" borderId="5" xfId="1" applyFont="1" applyFill="1" applyBorder="1"/>
    <xf numFmtId="43" fontId="75" fillId="0" borderId="0" xfId="1" applyFont="1" applyBorder="1"/>
    <xf numFmtId="43" fontId="75" fillId="0" borderId="6" xfId="1" applyFont="1" applyBorder="1"/>
    <xf numFmtId="0" fontId="13" fillId="0" borderId="5" xfId="0" applyFont="1" applyBorder="1" applyAlignment="1">
      <alignment horizontal="center" vertical="center"/>
    </xf>
    <xf numFmtId="0" fontId="47" fillId="0" borderId="5" xfId="0" applyFont="1" applyBorder="1" applyAlignment="1">
      <alignment vertical="center"/>
    </xf>
    <xf numFmtId="49" fontId="38" fillId="0" borderId="5" xfId="0" applyNumberFormat="1" applyFont="1" applyBorder="1" applyAlignment="1">
      <alignment horizontal="center" vertical="center"/>
    </xf>
    <xf numFmtId="0" fontId="38" fillId="0" borderId="5" xfId="0" applyFont="1" applyBorder="1" applyAlignment="1">
      <alignment vertical="center"/>
    </xf>
    <xf numFmtId="164" fontId="38" fillId="0" borderId="9" xfId="0" applyNumberFormat="1" applyFont="1" applyBorder="1" applyAlignment="1">
      <alignment vertical="center"/>
    </xf>
    <xf numFmtId="0" fontId="38" fillId="0" borderId="7" xfId="0" applyFont="1" applyBorder="1" applyAlignment="1">
      <alignment vertical="center"/>
    </xf>
    <xf numFmtId="0" fontId="77" fillId="0" borderId="0" xfId="0" applyFont="1" applyAlignment="1">
      <alignment vertical="center"/>
    </xf>
    <xf numFmtId="44" fontId="77" fillId="0" borderId="0" xfId="2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2" borderId="0" xfId="0" applyFont="1" applyFill="1"/>
    <xf numFmtId="12" fontId="13" fillId="0" borderId="0" xfId="0" applyNumberFormat="1" applyFont="1" applyAlignment="1">
      <alignment horizontal="left"/>
    </xf>
    <xf numFmtId="43" fontId="15" fillId="6" borderId="0" xfId="1" applyFont="1" applyFill="1" applyBorder="1"/>
    <xf numFmtId="44" fontId="14" fillId="0" borderId="0" xfId="2" applyFont="1" applyBorder="1"/>
    <xf numFmtId="0" fontId="13" fillId="2" borderId="43" xfId="0" applyFont="1" applyFill="1" applyBorder="1"/>
    <xf numFmtId="0" fontId="13" fillId="0" borderId="43" xfId="0" applyFont="1" applyBorder="1"/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/>
    </xf>
    <xf numFmtId="44" fontId="14" fillId="2" borderId="0" xfId="2" applyFont="1" applyFill="1" applyBorder="1"/>
    <xf numFmtId="44" fontId="14" fillId="0" borderId="0" xfId="2" applyFont="1" applyFill="1" applyBorder="1"/>
    <xf numFmtId="0" fontId="13" fillId="0" borderId="0" xfId="0" applyFont="1" applyAlignment="1">
      <alignment horizontal="left"/>
    </xf>
    <xf numFmtId="0" fontId="13" fillId="0" borderId="43" xfId="0" applyFont="1" applyBorder="1" applyAlignment="1">
      <alignment horizontal="center" vertical="center"/>
    </xf>
    <xf numFmtId="0" fontId="13" fillId="0" borderId="43" xfId="0" applyFont="1" applyBorder="1" applyAlignment="1">
      <alignment horizontal="left"/>
    </xf>
    <xf numFmtId="44" fontId="14" fillId="2" borderId="43" xfId="2" applyFont="1" applyFill="1" applyBorder="1"/>
    <xf numFmtId="44" fontId="15" fillId="6" borderId="0" xfId="2" applyFont="1" applyFill="1" applyBorder="1"/>
    <xf numFmtId="44" fontId="15" fillId="0" borderId="0" xfId="2" applyFont="1" applyFill="1" applyBorder="1"/>
    <xf numFmtId="0" fontId="14" fillId="0" borderId="6" xfId="0" applyFont="1" applyBorder="1"/>
    <xf numFmtId="44" fontId="15" fillId="3" borderId="44" xfId="0" applyNumberFormat="1" applyFont="1" applyFill="1" applyBorder="1"/>
    <xf numFmtId="44" fontId="15" fillId="3" borderId="6" xfId="0" applyNumberFormat="1" applyFont="1" applyFill="1" applyBorder="1"/>
    <xf numFmtId="43" fontId="1" fillId="0" borderId="5" xfId="1" applyFont="1" applyFill="1" applyBorder="1" applyAlignment="1">
      <alignment vertical="center"/>
    </xf>
    <xf numFmtId="0" fontId="13" fillId="2" borderId="5" xfId="0" applyFont="1" applyFill="1" applyBorder="1" applyAlignment="1">
      <alignment horizontal="center" vertical="center"/>
    </xf>
    <xf numFmtId="0" fontId="27" fillId="14" borderId="5" xfId="0" applyFont="1" applyFill="1" applyBorder="1" applyAlignment="1">
      <alignment horizontal="center"/>
    </xf>
    <xf numFmtId="0" fontId="27" fillId="14" borderId="7" xfId="0" applyFont="1" applyFill="1" applyBorder="1" applyAlignment="1">
      <alignment horizontal="center"/>
    </xf>
    <xf numFmtId="0" fontId="54" fillId="14" borderId="8" xfId="0" applyFont="1" applyFill="1" applyBorder="1" applyAlignment="1">
      <alignment horizontal="center"/>
    </xf>
    <xf numFmtId="0" fontId="32" fillId="14" borderId="19" xfId="0" applyFont="1" applyFill="1" applyBorder="1"/>
    <xf numFmtId="0" fontId="32" fillId="14" borderId="8" xfId="0" applyFont="1" applyFill="1" applyBorder="1"/>
    <xf numFmtId="0" fontId="36" fillId="14" borderId="14" xfId="0" applyFont="1" applyFill="1" applyBorder="1"/>
    <xf numFmtId="0" fontId="32" fillId="14" borderId="4" xfId="0" applyFont="1" applyFill="1" applyBorder="1"/>
    <xf numFmtId="0" fontId="32" fillId="14" borderId="19" xfId="0" applyFont="1" applyFill="1" applyBorder="1" applyAlignment="1">
      <alignment horizontal="center"/>
    </xf>
    <xf numFmtId="0" fontId="61" fillId="14" borderId="8" xfId="0" applyFont="1" applyFill="1" applyBorder="1" applyAlignment="1">
      <alignment horizontal="center"/>
    </xf>
    <xf numFmtId="44" fontId="32" fillId="14" borderId="14" xfId="2" applyFont="1" applyFill="1" applyBorder="1"/>
    <xf numFmtId="0" fontId="32" fillId="14" borderId="3" xfId="0" applyFont="1" applyFill="1" applyBorder="1"/>
    <xf numFmtId="0" fontId="32" fillId="14" borderId="10" xfId="0" applyFont="1" applyFill="1" applyBorder="1" applyAlignment="1">
      <alignment horizontal="center"/>
    </xf>
    <xf numFmtId="0" fontId="61" fillId="14" borderId="5" xfId="0" applyFont="1" applyFill="1" applyBorder="1" applyAlignment="1">
      <alignment horizontal="center"/>
    </xf>
    <xf numFmtId="44" fontId="32" fillId="14" borderId="9" xfId="2" applyFont="1" applyFill="1" applyBorder="1" applyAlignment="1"/>
    <xf numFmtId="0" fontId="30" fillId="14" borderId="10" xfId="0" applyFont="1" applyFill="1" applyBorder="1"/>
    <xf numFmtId="0" fontId="13" fillId="0" borderId="5" xfId="0" applyFont="1" applyBorder="1" applyAlignment="1">
      <alignment vertical="center" wrapText="1"/>
    </xf>
    <xf numFmtId="0" fontId="15" fillId="2" borderId="0" xfId="0" applyFont="1" applyFill="1" applyAlignment="1">
      <alignment horizontal="center" vertical="center"/>
    </xf>
    <xf numFmtId="44" fontId="14" fillId="0" borderId="7" xfId="0" applyNumberFormat="1" applyFont="1" applyBorder="1"/>
    <xf numFmtId="43" fontId="1" fillId="0" borderId="0" xfId="1" applyFont="1" applyFill="1" applyBorder="1" applyAlignment="1">
      <alignment vertical="center"/>
    </xf>
    <xf numFmtId="43" fontId="1" fillId="0" borderId="12" xfId="1" applyFont="1" applyFill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12" fontId="13" fillId="0" borderId="7" xfId="0" applyNumberFormat="1" applyFont="1" applyBorder="1" applyAlignment="1">
      <alignment horizontal="left"/>
    </xf>
    <xf numFmtId="44" fontId="14" fillId="0" borderId="7" xfId="2" applyFont="1" applyBorder="1"/>
    <xf numFmtId="0" fontId="31" fillId="13" borderId="0" xfId="0" applyFont="1" applyFill="1" applyAlignment="1">
      <alignment vertical="center"/>
    </xf>
    <xf numFmtId="15" fontId="31" fillId="0" borderId="0" xfId="0" applyNumberFormat="1" applyFont="1" applyAlignment="1">
      <alignment vertical="center"/>
    </xf>
    <xf numFmtId="43" fontId="75" fillId="2" borderId="5" xfId="1" applyFont="1" applyFill="1" applyBorder="1"/>
    <xf numFmtId="43" fontId="0" fillId="2" borderId="5" xfId="1" applyFont="1" applyFill="1" applyBorder="1"/>
    <xf numFmtId="44" fontId="0" fillId="2" borderId="5" xfId="1" applyNumberFormat="1" applyFont="1" applyFill="1" applyBorder="1"/>
    <xf numFmtId="44" fontId="0" fillId="11" borderId="5" xfId="0" applyNumberFormat="1" applyFill="1" applyBorder="1"/>
    <xf numFmtId="44" fontId="0" fillId="4" borderId="5" xfId="0" applyNumberFormat="1" applyFill="1" applyBorder="1"/>
    <xf numFmtId="0" fontId="79" fillId="15" borderId="0" xfId="0" applyFont="1" applyFill="1" applyAlignment="1">
      <alignment vertical="center"/>
    </xf>
    <xf numFmtId="44" fontId="38" fillId="0" borderId="5" xfId="2" applyFont="1" applyFill="1" applyBorder="1" applyAlignment="1">
      <alignment vertical="center"/>
    </xf>
    <xf numFmtId="0" fontId="78" fillId="0" borderId="0" xfId="0" applyFont="1"/>
    <xf numFmtId="0" fontId="33" fillId="14" borderId="9" xfId="0" applyFont="1" applyFill="1" applyBorder="1"/>
    <xf numFmtId="49" fontId="44" fillId="0" borderId="0" xfId="0" applyNumberFormat="1" applyFont="1" applyAlignment="1">
      <alignment horizontal="center" vertical="center"/>
    </xf>
    <xf numFmtId="164" fontId="1" fillId="0" borderId="5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44" fontId="0" fillId="0" borderId="0" xfId="2" applyFont="1" applyBorder="1" applyAlignment="1">
      <alignment vertical="center"/>
    </xf>
    <xf numFmtId="49" fontId="38" fillId="0" borderId="0" xfId="0" applyNumberFormat="1" applyFont="1" applyAlignment="1">
      <alignment horizontal="center" vertical="center"/>
    </xf>
    <xf numFmtId="164" fontId="38" fillId="0" borderId="0" xfId="0" applyNumberFormat="1" applyFont="1" applyAlignment="1">
      <alignment vertical="center"/>
    </xf>
    <xf numFmtId="164" fontId="38" fillId="16" borderId="5" xfId="0" applyNumberFormat="1" applyFont="1" applyFill="1" applyBorder="1" applyAlignment="1">
      <alignment vertical="center"/>
    </xf>
    <xf numFmtId="164" fontId="1" fillId="16" borderId="5" xfId="0" applyNumberFormat="1" applyFont="1" applyFill="1" applyBorder="1" applyAlignment="1">
      <alignment vertical="center"/>
    </xf>
    <xf numFmtId="164" fontId="1" fillId="3" borderId="0" xfId="0" applyNumberFormat="1" applyFont="1" applyFill="1" applyAlignment="1">
      <alignment vertical="center"/>
    </xf>
    <xf numFmtId="164" fontId="5" fillId="3" borderId="0" xfId="0" applyNumberFormat="1" applyFont="1" applyFill="1" applyAlignment="1">
      <alignment vertical="center"/>
    </xf>
    <xf numFmtId="49" fontId="43" fillId="0" borderId="0" xfId="0" applyNumberFormat="1" applyFont="1" applyAlignment="1">
      <alignment horizontal="center" vertical="center"/>
    </xf>
    <xf numFmtId="0" fontId="7" fillId="11" borderId="0" xfId="0" applyFont="1" applyFill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3" fontId="0" fillId="0" borderId="0" xfId="1" applyFont="1" applyAlignment="1">
      <alignment vertical="center"/>
    </xf>
    <xf numFmtId="43" fontId="0" fillId="0" borderId="0" xfId="1" applyFont="1" applyBorder="1" applyAlignment="1">
      <alignment vertical="center"/>
    </xf>
    <xf numFmtId="43" fontId="77" fillId="0" borderId="0" xfId="1" applyFont="1" applyFill="1" applyAlignment="1">
      <alignment vertical="center"/>
    </xf>
    <xf numFmtId="43" fontId="15" fillId="2" borderId="0" xfId="1" applyFont="1" applyFill="1" applyBorder="1" applyAlignment="1">
      <alignment vertical="center"/>
    </xf>
    <xf numFmtId="43" fontId="15" fillId="2" borderId="0" xfId="1" applyFont="1" applyFill="1" applyAlignment="1">
      <alignment vertical="center"/>
    </xf>
    <xf numFmtId="0" fontId="80" fillId="0" borderId="0" xfId="0" applyFont="1"/>
    <xf numFmtId="0" fontId="1" fillId="17" borderId="0" xfId="0" applyFont="1" applyFill="1" applyAlignment="1">
      <alignment vertical="center"/>
    </xf>
    <xf numFmtId="43" fontId="1" fillId="17" borderId="0" xfId="0" applyNumberFormat="1" applyFont="1" applyFill="1" applyAlignment="1">
      <alignment horizontal="right" vertical="center"/>
    </xf>
    <xf numFmtId="44" fontId="0" fillId="0" borderId="5" xfId="0" applyNumberFormat="1" applyBorder="1"/>
    <xf numFmtId="44" fontId="0" fillId="3" borderId="5" xfId="0" applyNumberFormat="1" applyFill="1" applyBorder="1"/>
    <xf numFmtId="0" fontId="0" fillId="0" borderId="5" xfId="0" applyBorder="1" applyAlignment="1">
      <alignment horizontal="center" wrapText="1"/>
    </xf>
    <xf numFmtId="9" fontId="0" fillId="0" borderId="5" xfId="0" applyNumberFormat="1" applyBorder="1" applyAlignment="1">
      <alignment horizontal="center" wrapText="1"/>
    </xf>
    <xf numFmtId="0" fontId="81" fillId="0" borderId="0" xfId="0" applyFont="1"/>
    <xf numFmtId="164" fontId="82" fillId="0" borderId="5" xfId="0" applyNumberFormat="1" applyFont="1" applyBorder="1" applyAlignment="1">
      <alignment horizontal="right" vertical="center"/>
    </xf>
    <xf numFmtId="44" fontId="20" fillId="0" borderId="5" xfId="2" applyFont="1" applyFill="1" applyBorder="1" applyAlignment="1">
      <alignment vertical="center"/>
    </xf>
    <xf numFmtId="44" fontId="20" fillId="0" borderId="7" xfId="2" applyFont="1" applyFill="1" applyBorder="1" applyAlignment="1">
      <alignment vertical="center"/>
    </xf>
    <xf numFmtId="0" fontId="83" fillId="18" borderId="28" xfId="0" applyFont="1" applyFill="1" applyBorder="1" applyAlignment="1">
      <alignment horizontal="center" vertical="center" wrapText="1"/>
    </xf>
    <xf numFmtId="0" fontId="83" fillId="18" borderId="29" xfId="0" applyFont="1" applyFill="1" applyBorder="1" applyAlignment="1">
      <alignment horizontal="center" vertical="center" wrapText="1"/>
    </xf>
    <xf numFmtId="0" fontId="83" fillId="18" borderId="5" xfId="0" applyFont="1" applyFill="1" applyBorder="1" applyAlignment="1">
      <alignment horizontal="center" vertical="center" wrapText="1"/>
    </xf>
    <xf numFmtId="43" fontId="83" fillId="18" borderId="5" xfId="1" applyFont="1" applyFill="1" applyBorder="1" applyAlignment="1">
      <alignment horizontal="center" vertical="center" wrapText="1"/>
    </xf>
    <xf numFmtId="0" fontId="83" fillId="18" borderId="1" xfId="0" applyFont="1" applyFill="1" applyBorder="1" applyAlignment="1">
      <alignment horizontal="center" vertical="center" wrapText="1"/>
    </xf>
    <xf numFmtId="43" fontId="83" fillId="18" borderId="1" xfId="1" applyFont="1" applyFill="1" applyBorder="1" applyAlignment="1">
      <alignment horizontal="center" vertical="center" wrapText="1"/>
    </xf>
    <xf numFmtId="0" fontId="83" fillId="18" borderId="23" xfId="0" applyFont="1" applyFill="1" applyBorder="1" applyAlignment="1">
      <alignment horizontal="center" vertical="center" wrapText="1"/>
    </xf>
    <xf numFmtId="0" fontId="84" fillId="18" borderId="15" xfId="0" applyFont="1" applyFill="1" applyBorder="1" applyAlignment="1">
      <alignment horizontal="center" vertical="center"/>
    </xf>
    <xf numFmtId="0" fontId="85" fillId="18" borderId="0" xfId="0" applyFont="1" applyFill="1" applyAlignment="1">
      <alignment horizontal="center" vertical="center"/>
    </xf>
    <xf numFmtId="0" fontId="86" fillId="18" borderId="0" xfId="0" applyFont="1" applyFill="1" applyAlignment="1">
      <alignment horizontal="center" vertical="center"/>
    </xf>
    <xf numFmtId="0" fontId="88" fillId="18" borderId="4" xfId="0" applyFont="1" applyFill="1" applyBorder="1" applyAlignment="1">
      <alignment vertical="center"/>
    </xf>
    <xf numFmtId="0" fontId="84" fillId="18" borderId="7" xfId="0" applyFont="1" applyFill="1" applyBorder="1" applyAlignment="1">
      <alignment vertical="center"/>
    </xf>
    <xf numFmtId="0" fontId="87" fillId="18" borderId="10" xfId="0" applyFont="1" applyFill="1" applyBorder="1" applyAlignment="1">
      <alignment vertical="center"/>
    </xf>
    <xf numFmtId="0" fontId="90" fillId="18" borderId="9" xfId="0" applyFont="1" applyFill="1" applyBorder="1" applyAlignment="1">
      <alignment vertical="center"/>
    </xf>
    <xf numFmtId="0" fontId="89" fillId="18" borderId="5" xfId="0" applyFont="1" applyFill="1" applyBorder="1" applyAlignment="1">
      <alignment vertical="center"/>
    </xf>
    <xf numFmtId="0" fontId="89" fillId="18" borderId="3" xfId="0" applyFont="1" applyFill="1" applyBorder="1" applyAlignment="1">
      <alignment vertical="center"/>
    </xf>
    <xf numFmtId="0" fontId="89" fillId="18" borderId="5" xfId="0" applyFont="1" applyFill="1" applyBorder="1" applyAlignment="1">
      <alignment horizontal="center" vertical="center"/>
    </xf>
    <xf numFmtId="0" fontId="89" fillId="18" borderId="10" xfId="0" applyFont="1" applyFill="1" applyBorder="1" applyAlignment="1">
      <alignment horizontal="center" vertical="center"/>
    </xf>
    <xf numFmtId="0" fontId="89" fillId="18" borderId="9" xfId="0" applyFont="1" applyFill="1" applyBorder="1" applyAlignment="1">
      <alignment horizontal="center" vertical="center"/>
    </xf>
    <xf numFmtId="0" fontId="89" fillId="18" borderId="9" xfId="0" applyFont="1" applyFill="1" applyBorder="1" applyAlignment="1">
      <alignment vertical="center"/>
    </xf>
    <xf numFmtId="0" fontId="89" fillId="18" borderId="10" xfId="0" applyFont="1" applyFill="1" applyBorder="1" applyAlignment="1">
      <alignment vertical="center"/>
    </xf>
    <xf numFmtId="0" fontId="87" fillId="18" borderId="3" xfId="0" applyFont="1" applyFill="1" applyBorder="1" applyAlignment="1">
      <alignment vertical="center"/>
    </xf>
    <xf numFmtId="0" fontId="84" fillId="18" borderId="8" xfId="0" applyFont="1" applyFill="1" applyBorder="1" applyAlignment="1">
      <alignment vertical="center"/>
    </xf>
    <xf numFmtId="0" fontId="89" fillId="18" borderId="19" xfId="0" applyFont="1" applyFill="1" applyBorder="1" applyAlignment="1">
      <alignment vertical="center"/>
    </xf>
    <xf numFmtId="0" fontId="89" fillId="18" borderId="8" xfId="0" applyFont="1" applyFill="1" applyBorder="1" applyAlignment="1">
      <alignment vertical="center"/>
    </xf>
    <xf numFmtId="0" fontId="91" fillId="18" borderId="14" xfId="0" applyFont="1" applyFill="1" applyBorder="1" applyAlignment="1">
      <alignment vertical="center"/>
    </xf>
    <xf numFmtId="0" fontId="89" fillId="18" borderId="4" xfId="0" applyFont="1" applyFill="1" applyBorder="1" applyAlignment="1">
      <alignment vertical="center"/>
    </xf>
    <xf numFmtId="0" fontId="89" fillId="18" borderId="8" xfId="0" applyFont="1" applyFill="1" applyBorder="1" applyAlignment="1">
      <alignment horizontal="center" vertical="center"/>
    </xf>
    <xf numFmtId="0" fontId="89" fillId="18" borderId="19" xfId="0" applyFont="1" applyFill="1" applyBorder="1" applyAlignment="1">
      <alignment horizontal="center" vertical="center"/>
    </xf>
    <xf numFmtId="0" fontId="89" fillId="18" borderId="14" xfId="0" applyFont="1" applyFill="1" applyBorder="1" applyAlignment="1">
      <alignment vertical="center"/>
    </xf>
    <xf numFmtId="43" fontId="90" fillId="18" borderId="9" xfId="1" applyFont="1" applyFill="1" applyBorder="1" applyAlignment="1">
      <alignment vertical="center"/>
    </xf>
    <xf numFmtId="43" fontId="91" fillId="18" borderId="14" xfId="1" applyFont="1" applyFill="1" applyBorder="1" applyAlignment="1">
      <alignment vertical="center"/>
    </xf>
    <xf numFmtId="0" fontId="92" fillId="18" borderId="15" xfId="0" applyFont="1" applyFill="1" applyBorder="1" applyAlignment="1">
      <alignment vertical="center"/>
    </xf>
    <xf numFmtId="0" fontId="92" fillId="18" borderId="0" xfId="0" applyFont="1" applyFill="1" applyAlignment="1">
      <alignment horizontal="center" vertical="center"/>
    </xf>
    <xf numFmtId="0" fontId="93" fillId="18" borderId="4" xfId="0" applyFont="1" applyFill="1" applyBorder="1" applyAlignment="1">
      <alignment horizontal="center" vertical="center"/>
    </xf>
    <xf numFmtId="44" fontId="92" fillId="18" borderId="8" xfId="2" applyFont="1" applyFill="1" applyBorder="1" applyAlignment="1">
      <alignment horizontal="center" vertical="center"/>
    </xf>
    <xf numFmtId="0" fontId="92" fillId="18" borderId="11" xfId="0" applyFont="1" applyFill="1" applyBorder="1" applyAlignment="1">
      <alignment vertical="center"/>
    </xf>
    <xf numFmtId="0" fontId="92" fillId="18" borderId="9" xfId="0" applyFont="1" applyFill="1" applyBorder="1" applyAlignment="1">
      <alignment horizontal="center" vertical="center"/>
    </xf>
    <xf numFmtId="0" fontId="92" fillId="18" borderId="3" xfId="0" applyFont="1" applyFill="1" applyBorder="1" applyAlignment="1">
      <alignment horizontal="center" vertical="center"/>
    </xf>
    <xf numFmtId="0" fontId="92" fillId="18" borderId="12" xfId="0" applyFont="1" applyFill="1" applyBorder="1" applyAlignment="1">
      <alignment vertical="center"/>
    </xf>
    <xf numFmtId="0" fontId="92" fillId="18" borderId="13" xfId="0" applyFont="1" applyFill="1" applyBorder="1" applyAlignment="1">
      <alignment vertical="center"/>
    </xf>
    <xf numFmtId="0" fontId="92" fillId="18" borderId="7" xfId="0" applyFont="1" applyFill="1" applyBorder="1" applyAlignment="1">
      <alignment vertical="center"/>
    </xf>
    <xf numFmtId="44" fontId="92" fillId="18" borderId="7" xfId="2" applyFont="1" applyFill="1" applyBorder="1" applyAlignment="1">
      <alignment vertical="center"/>
    </xf>
    <xf numFmtId="44" fontId="92" fillId="18" borderId="2" xfId="2" applyFont="1" applyFill="1" applyBorder="1" applyAlignment="1">
      <alignment vertical="center"/>
    </xf>
    <xf numFmtId="44" fontId="92" fillId="18" borderId="12" xfId="2" applyFont="1" applyFill="1" applyBorder="1" applyAlignment="1">
      <alignment vertical="center"/>
    </xf>
    <xf numFmtId="0" fontId="92" fillId="18" borderId="14" xfId="0" applyFont="1" applyFill="1" applyBorder="1" applyAlignment="1">
      <alignment vertical="center"/>
    </xf>
    <xf numFmtId="0" fontId="92" fillId="18" borderId="5" xfId="0" applyFont="1" applyFill="1" applyBorder="1" applyAlignment="1">
      <alignment vertical="center"/>
    </xf>
    <xf numFmtId="0" fontId="92" fillId="18" borderId="9" xfId="0" applyFont="1" applyFill="1" applyBorder="1" applyAlignment="1">
      <alignment vertical="center"/>
    </xf>
    <xf numFmtId="0" fontId="92" fillId="18" borderId="8" xfId="0" applyFont="1" applyFill="1" applyBorder="1" applyAlignment="1">
      <alignment vertical="center"/>
    </xf>
    <xf numFmtId="44" fontId="92" fillId="18" borderId="8" xfId="2" applyFont="1" applyFill="1" applyBorder="1" applyAlignment="1">
      <alignment vertical="center"/>
    </xf>
    <xf numFmtId="44" fontId="92" fillId="18" borderId="4" xfId="2" applyFont="1" applyFill="1" applyBorder="1" applyAlignment="1">
      <alignment vertical="center"/>
    </xf>
    <xf numFmtId="49" fontId="83" fillId="18" borderId="27" xfId="0" applyNumberFormat="1" applyFont="1" applyFill="1" applyBorder="1" applyAlignment="1">
      <alignment horizontal="center" vertical="center" wrapText="1"/>
    </xf>
    <xf numFmtId="0" fontId="83" fillId="18" borderId="45" xfId="0" applyFont="1" applyFill="1" applyBorder="1" applyAlignment="1">
      <alignment horizontal="center" vertical="center" wrapText="1"/>
    </xf>
    <xf numFmtId="0" fontId="83" fillId="18" borderId="19" xfId="0" applyFont="1" applyFill="1" applyBorder="1" applyAlignment="1">
      <alignment horizontal="center" vertical="center" wrapText="1"/>
    </xf>
    <xf numFmtId="0" fontId="94" fillId="18" borderId="5" xfId="0" applyFont="1" applyFill="1" applyBorder="1"/>
    <xf numFmtId="0" fontId="95" fillId="18" borderId="5" xfId="0" applyFont="1" applyFill="1" applyBorder="1" applyAlignment="1">
      <alignment horizontal="center"/>
    </xf>
    <xf numFmtId="43" fontId="95" fillId="18" borderId="5" xfId="1" applyFont="1" applyFill="1" applyBorder="1" applyAlignment="1">
      <alignment horizontal="center"/>
    </xf>
    <xf numFmtId="0" fontId="5" fillId="16" borderId="6" xfId="0" applyFont="1" applyFill="1" applyBorder="1" applyAlignment="1">
      <alignment horizontal="right" vertical="center"/>
    </xf>
    <xf numFmtId="164" fontId="12" fillId="16" borderId="6" xfId="0" applyNumberFormat="1" applyFont="1" applyFill="1" applyBorder="1" applyAlignment="1">
      <alignment horizontal="right" vertical="center"/>
    </xf>
    <xf numFmtId="164" fontId="5" fillId="3" borderId="7" xfId="0" applyNumberFormat="1" applyFont="1" applyFill="1" applyBorder="1" applyAlignment="1">
      <alignment vertical="center"/>
    </xf>
    <xf numFmtId="49" fontId="96" fillId="18" borderId="22" xfId="0" applyNumberFormat="1" applyFont="1" applyFill="1" applyBorder="1" applyAlignment="1">
      <alignment horizontal="center" vertical="center" wrapText="1"/>
    </xf>
    <xf numFmtId="49" fontId="96" fillId="18" borderId="5" xfId="0" applyNumberFormat="1" applyFont="1" applyFill="1" applyBorder="1" applyAlignment="1">
      <alignment horizontal="center" vertical="center" wrapText="1"/>
    </xf>
    <xf numFmtId="44" fontId="42" fillId="3" borderId="38" xfId="2" applyFont="1" applyFill="1" applyBorder="1" applyAlignment="1">
      <alignment vertical="center"/>
    </xf>
    <xf numFmtId="44" fontId="10" fillId="3" borderId="17" xfId="2" applyFont="1" applyFill="1" applyBorder="1" applyAlignment="1">
      <alignment vertical="center"/>
    </xf>
    <xf numFmtId="44" fontId="0" fillId="3" borderId="36" xfId="1" applyNumberFormat="1" applyFont="1" applyFill="1" applyBorder="1"/>
    <xf numFmtId="0" fontId="97" fillId="18" borderId="28" xfId="0" applyFont="1" applyFill="1" applyBorder="1" applyAlignment="1">
      <alignment horizontal="center" vertical="center" wrapText="1"/>
    </xf>
    <xf numFmtId="49" fontId="97" fillId="18" borderId="27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43" fontId="65" fillId="0" borderId="8" xfId="1" applyFont="1" applyFill="1" applyBorder="1" applyAlignment="1">
      <alignment horizontal="center" vertical="center"/>
    </xf>
    <xf numFmtId="164" fontId="1" fillId="0" borderId="8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43" fontId="65" fillId="0" borderId="3" xfId="1" applyFont="1" applyFill="1" applyBorder="1" applyAlignment="1">
      <alignment vertical="center"/>
    </xf>
    <xf numFmtId="49" fontId="5" fillId="0" borderId="8" xfId="0" applyNumberFormat="1" applyFont="1" applyBorder="1" applyAlignment="1">
      <alignment vertical="center"/>
    </xf>
    <xf numFmtId="43" fontId="65" fillId="0" borderId="8" xfId="1" applyFont="1" applyFill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49" fontId="5" fillId="0" borderId="43" xfId="0" applyNumberFormat="1" applyFont="1" applyBorder="1" applyAlignment="1">
      <alignment horizontal="left" vertical="center"/>
    </xf>
    <xf numFmtId="0" fontId="1" fillId="0" borderId="43" xfId="0" applyFont="1" applyBorder="1" applyAlignment="1">
      <alignment horizontal="right" vertical="center"/>
    </xf>
    <xf numFmtId="43" fontId="65" fillId="0" borderId="43" xfId="1" applyFont="1" applyFill="1" applyBorder="1" applyAlignment="1">
      <alignment horizontal="right" vertical="center"/>
    </xf>
    <xf numFmtId="49" fontId="5" fillId="0" borderId="21" xfId="0" applyNumberFormat="1" applyFont="1" applyBorder="1" applyAlignment="1">
      <alignment vertical="center"/>
    </xf>
    <xf numFmtId="43" fontId="66" fillId="0" borderId="6" xfId="1" applyFont="1" applyFill="1" applyBorder="1"/>
    <xf numFmtId="164" fontId="12" fillId="3" borderId="43" xfId="0" applyNumberFormat="1" applyFont="1" applyFill="1" applyBorder="1" applyAlignment="1">
      <alignment horizontal="right" vertical="center"/>
    </xf>
    <xf numFmtId="43" fontId="12" fillId="3" borderId="6" xfId="1" applyFont="1" applyFill="1" applyBorder="1" applyAlignment="1">
      <alignment horizontal="right" vertical="center"/>
    </xf>
    <xf numFmtId="164" fontId="5" fillId="3" borderId="6" xfId="0" applyNumberFormat="1" applyFont="1" applyFill="1" applyBorder="1" applyAlignment="1">
      <alignment horizontal="right" vertical="center"/>
    </xf>
    <xf numFmtId="43" fontId="5" fillId="3" borderId="0" xfId="0" applyNumberFormat="1" applyFont="1" applyFill="1" applyAlignment="1">
      <alignment vertical="center"/>
    </xf>
    <xf numFmtId="43" fontId="1" fillId="3" borderId="6" xfId="0" applyNumberFormat="1" applyFont="1" applyFill="1" applyBorder="1" applyAlignment="1">
      <alignment vertical="center"/>
    </xf>
    <xf numFmtId="164" fontId="1" fillId="16" borderId="43" xfId="0" applyNumberFormat="1" applyFont="1" applyFill="1" applyBorder="1" applyAlignment="1">
      <alignment vertical="center"/>
    </xf>
    <xf numFmtId="0" fontId="1" fillId="16" borderId="0" xfId="0" applyFont="1" applyFill="1" applyAlignment="1">
      <alignment horizontal="right" vertical="center"/>
    </xf>
    <xf numFmtId="0" fontId="1" fillId="16" borderId="6" xfId="0" applyFont="1" applyFill="1" applyBorder="1" applyAlignment="1">
      <alignment vertical="center"/>
    </xf>
    <xf numFmtId="43" fontId="65" fillId="16" borderId="6" xfId="1" applyFont="1" applyFill="1" applyBorder="1" applyAlignment="1">
      <alignment vertical="center"/>
    </xf>
    <xf numFmtId="164" fontId="5" fillId="16" borderId="21" xfId="0" applyNumberFormat="1" applyFont="1" applyFill="1" applyBorder="1" applyAlignment="1">
      <alignment vertical="center"/>
    </xf>
    <xf numFmtId="0" fontId="1" fillId="16" borderId="20" xfId="0" applyFont="1" applyFill="1" applyBorder="1" applyAlignment="1">
      <alignment vertical="center"/>
    </xf>
    <xf numFmtId="43" fontId="1" fillId="16" borderId="6" xfId="0" applyNumberFormat="1" applyFont="1" applyFill="1" applyBorder="1" applyAlignment="1">
      <alignment vertical="center"/>
    </xf>
    <xf numFmtId="43" fontId="1" fillId="16" borderId="6" xfId="1" applyFont="1" applyFill="1" applyBorder="1" applyAlignment="1">
      <alignment vertical="center"/>
    </xf>
    <xf numFmtId="0" fontId="1" fillId="16" borderId="48" xfId="0" applyFont="1" applyFill="1" applyBorder="1" applyAlignment="1">
      <alignment horizontal="right" vertical="center"/>
    </xf>
    <xf numFmtId="43" fontId="5" fillId="16" borderId="0" xfId="0" applyNumberFormat="1" applyFont="1" applyFill="1" applyAlignment="1">
      <alignment vertical="center"/>
    </xf>
    <xf numFmtId="43" fontId="1" fillId="16" borderId="0" xfId="0" applyNumberFormat="1" applyFont="1" applyFill="1" applyAlignment="1">
      <alignment vertical="center"/>
    </xf>
    <xf numFmtId="0" fontId="1" fillId="16" borderId="12" xfId="0" applyFont="1" applyFill="1" applyBorder="1" applyAlignment="1">
      <alignment horizontal="right" vertical="center"/>
    </xf>
    <xf numFmtId="164" fontId="5" fillId="16" borderId="6" xfId="0" applyNumberFormat="1" applyFont="1" applyFill="1" applyBorder="1" applyAlignment="1">
      <alignment horizontal="right" vertical="center"/>
    </xf>
    <xf numFmtId="0" fontId="1" fillId="16" borderId="20" xfId="0" applyFont="1" applyFill="1" applyBorder="1" applyAlignment="1">
      <alignment horizontal="right" vertical="center"/>
    </xf>
    <xf numFmtId="43" fontId="12" fillId="16" borderId="6" xfId="1" applyFont="1" applyFill="1" applyBorder="1" applyAlignment="1">
      <alignment horizontal="right" vertical="center"/>
    </xf>
    <xf numFmtId="164" fontId="1" fillId="16" borderId="20" xfId="0" applyNumberFormat="1" applyFont="1" applyFill="1" applyBorder="1" applyAlignment="1">
      <alignment horizontal="right" vertical="center"/>
    </xf>
    <xf numFmtId="49" fontId="5" fillId="16" borderId="43" xfId="0" applyNumberFormat="1" applyFont="1" applyFill="1" applyBorder="1" applyAlignment="1">
      <alignment horizontal="left" vertical="center"/>
    </xf>
    <xf numFmtId="0" fontId="1" fillId="16" borderId="43" xfId="0" applyFont="1" applyFill="1" applyBorder="1" applyAlignment="1">
      <alignment horizontal="right" vertical="center"/>
    </xf>
    <xf numFmtId="43" fontId="65" fillId="16" borderId="43" xfId="1" applyFont="1" applyFill="1" applyBorder="1" applyAlignment="1">
      <alignment horizontal="right" vertical="center"/>
    </xf>
    <xf numFmtId="164" fontId="12" fillId="16" borderId="43" xfId="0" applyNumberFormat="1" applyFont="1" applyFill="1" applyBorder="1" applyAlignment="1">
      <alignment horizontal="right" vertical="center"/>
    </xf>
    <xf numFmtId="0" fontId="5" fillId="16" borderId="34" xfId="0" applyFont="1" applyFill="1" applyBorder="1" applyAlignment="1">
      <alignment vertical="center"/>
    </xf>
    <xf numFmtId="44" fontId="42" fillId="16" borderId="38" xfId="2" applyFont="1" applyFill="1" applyBorder="1" applyAlignment="1">
      <alignment vertical="center"/>
    </xf>
    <xf numFmtId="44" fontId="10" fillId="16" borderId="38" xfId="0" applyNumberFormat="1" applyFont="1" applyFill="1" applyBorder="1" applyAlignment="1">
      <alignment vertical="center"/>
    </xf>
    <xf numFmtId="0" fontId="14" fillId="16" borderId="0" xfId="0" applyFont="1" applyFill="1" applyAlignment="1">
      <alignment vertical="center"/>
    </xf>
    <xf numFmtId="44" fontId="10" fillId="16" borderId="17" xfId="2" applyFont="1" applyFill="1" applyBorder="1" applyAlignment="1">
      <alignment vertical="center"/>
    </xf>
    <xf numFmtId="44" fontId="10" fillId="16" borderId="16" xfId="2" applyFont="1" applyFill="1" applyBorder="1" applyAlignment="1">
      <alignment vertical="center"/>
    </xf>
    <xf numFmtId="44" fontId="67" fillId="16" borderId="42" xfId="2" applyFont="1" applyFill="1" applyBorder="1" applyAlignment="1">
      <alignment vertical="center"/>
    </xf>
    <xf numFmtId="0" fontId="38" fillId="16" borderId="0" xfId="0" applyFont="1" applyFill="1" applyAlignment="1">
      <alignment vertical="center"/>
    </xf>
    <xf numFmtId="0" fontId="1" fillId="16" borderId="0" xfId="0" applyFont="1" applyFill="1" applyAlignment="1">
      <alignment vertical="center"/>
    </xf>
    <xf numFmtId="43" fontId="14" fillId="0" borderId="5" xfId="1" applyFont="1" applyFill="1" applyBorder="1"/>
    <xf numFmtId="43" fontId="14" fillId="0" borderId="7" xfId="1" applyFont="1" applyFill="1" applyBorder="1"/>
    <xf numFmtId="0" fontId="79" fillId="0" borderId="0" xfId="0" applyFont="1" applyAlignment="1">
      <alignment vertical="center"/>
    </xf>
    <xf numFmtId="0" fontId="0" fillId="6" borderId="0" xfId="0" applyFill="1" applyAlignment="1">
      <alignment horizontal="left"/>
    </xf>
    <xf numFmtId="0" fontId="1" fillId="19" borderId="0" xfId="0" applyFont="1" applyFill="1" applyAlignment="1">
      <alignment vertical="center"/>
    </xf>
    <xf numFmtId="0" fontId="1" fillId="12" borderId="0" xfId="0" applyFont="1" applyFill="1" applyAlignment="1">
      <alignment vertical="center"/>
    </xf>
    <xf numFmtId="0" fontId="1" fillId="20" borderId="0" xfId="0" applyFont="1" applyFill="1" applyAlignment="1">
      <alignment vertical="center"/>
    </xf>
    <xf numFmtId="0" fontId="0" fillId="0" borderId="5" xfId="0" applyBorder="1" applyAlignment="1">
      <alignment wrapText="1"/>
    </xf>
    <xf numFmtId="43" fontId="13" fillId="0" borderId="5" xfId="0" applyNumberFormat="1" applyFont="1" applyBorder="1" applyAlignment="1">
      <alignment vertical="center"/>
    </xf>
    <xf numFmtId="43" fontId="69" fillId="0" borderId="5" xfId="0" applyNumberFormat="1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3" fillId="0" borderId="43" xfId="0" applyFont="1" applyBorder="1" applyAlignment="1">
      <alignment wrapText="1"/>
    </xf>
    <xf numFmtId="12" fontId="13" fillId="0" borderId="43" xfId="0" applyNumberFormat="1" applyFont="1" applyBorder="1" applyAlignment="1">
      <alignment horizontal="left"/>
    </xf>
    <xf numFmtId="43" fontId="14" fillId="0" borderId="43" xfId="1" applyFont="1" applyFill="1" applyBorder="1"/>
    <xf numFmtId="44" fontId="14" fillId="0" borderId="43" xfId="2" applyFont="1" applyFill="1" applyBorder="1"/>
    <xf numFmtId="44" fontId="92" fillId="18" borderId="5" xfId="2" applyFont="1" applyFill="1" applyBorder="1" applyAlignment="1">
      <alignment vertical="center"/>
    </xf>
    <xf numFmtId="0" fontId="3" fillId="0" borderId="0" xfId="0" applyFont="1"/>
    <xf numFmtId="43" fontId="1" fillId="0" borderId="19" xfId="1" applyFont="1" applyFill="1" applyBorder="1" applyAlignment="1">
      <alignment vertical="center"/>
    </xf>
    <xf numFmtId="0" fontId="58" fillId="21" borderId="36" xfId="0" applyFont="1" applyFill="1" applyBorder="1" applyAlignment="1">
      <alignment horizontal="center"/>
    </xf>
    <xf numFmtId="0" fontId="0" fillId="21" borderId="36" xfId="0" applyFill="1" applyBorder="1" applyAlignment="1">
      <alignment horizontal="center"/>
    </xf>
    <xf numFmtId="43" fontId="75" fillId="21" borderId="36" xfId="1" applyFont="1" applyFill="1" applyBorder="1" applyAlignment="1">
      <alignment horizontal="center"/>
    </xf>
    <xf numFmtId="43" fontId="0" fillId="21" borderId="36" xfId="1" applyFont="1" applyFill="1" applyBorder="1" applyAlignment="1">
      <alignment horizontal="center"/>
    </xf>
    <xf numFmtId="44" fontId="0" fillId="21" borderId="36" xfId="1" applyNumberFormat="1" applyFont="1" applyFill="1" applyBorder="1"/>
    <xf numFmtId="0" fontId="58" fillId="21" borderId="5" xfId="0" applyFont="1" applyFill="1" applyBorder="1" applyAlignment="1">
      <alignment horizontal="center"/>
    </xf>
    <xf numFmtId="0" fontId="0" fillId="21" borderId="5" xfId="0" applyFill="1" applyBorder="1" applyAlignment="1">
      <alignment horizontal="center"/>
    </xf>
    <xf numFmtId="43" fontId="75" fillId="21" borderId="5" xfId="1" applyFont="1" applyFill="1" applyBorder="1" applyAlignment="1">
      <alignment horizontal="center"/>
    </xf>
    <xf numFmtId="43" fontId="0" fillId="21" borderId="5" xfId="1" applyFont="1" applyFill="1" applyBorder="1" applyAlignment="1">
      <alignment horizontal="center"/>
    </xf>
    <xf numFmtId="44" fontId="0" fillId="21" borderId="5" xfId="1" applyNumberFormat="1" applyFont="1" applyFill="1" applyBorder="1"/>
    <xf numFmtId="164" fontId="12" fillId="16" borderId="43" xfId="1" applyNumberFormat="1" applyFont="1" applyFill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/>
    </xf>
    <xf numFmtId="0" fontId="48" fillId="0" borderId="9" xfId="0" applyFont="1" applyBorder="1"/>
    <xf numFmtId="0" fontId="48" fillId="0" borderId="10" xfId="0" applyFont="1" applyBorder="1"/>
    <xf numFmtId="0" fontId="13" fillId="2" borderId="8" xfId="0" applyFont="1" applyFill="1" applyBorder="1"/>
    <xf numFmtId="0" fontId="48" fillId="0" borderId="0" xfId="0" applyFont="1"/>
    <xf numFmtId="0" fontId="13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wrapText="1"/>
    </xf>
    <xf numFmtId="44" fontId="14" fillId="0" borderId="7" xfId="2" applyFont="1" applyFill="1" applyBorder="1"/>
    <xf numFmtId="43" fontId="1" fillId="0" borderId="20" xfId="1" applyFont="1" applyFill="1" applyBorder="1" applyAlignment="1">
      <alignment vertical="center"/>
    </xf>
    <xf numFmtId="49" fontId="1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43" fontId="65" fillId="0" borderId="7" xfId="1" applyFont="1" applyFill="1" applyBorder="1" applyAlignment="1">
      <alignment horizontal="center" vertical="center"/>
    </xf>
    <xf numFmtId="164" fontId="1" fillId="0" borderId="7" xfId="0" applyNumberFormat="1" applyFont="1" applyBorder="1" applyAlignment="1">
      <alignment vertical="center"/>
    </xf>
    <xf numFmtId="0" fontId="98" fillId="0" borderId="0" xfId="0" applyFont="1"/>
    <xf numFmtId="0" fontId="9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8" fillId="21" borderId="8" xfId="0" applyFont="1" applyFill="1" applyBorder="1" applyAlignment="1">
      <alignment horizontal="center"/>
    </xf>
    <xf numFmtId="0" fontId="0" fillId="21" borderId="8" xfId="0" applyFill="1" applyBorder="1" applyAlignment="1">
      <alignment horizontal="center"/>
    </xf>
    <xf numFmtId="43" fontId="75" fillId="21" borderId="8" xfId="1" applyFont="1" applyFill="1" applyBorder="1" applyAlignment="1">
      <alignment horizontal="center"/>
    </xf>
    <xf numFmtId="43" fontId="0" fillId="21" borderId="8" xfId="1" applyFont="1" applyFill="1" applyBorder="1" applyAlignment="1">
      <alignment horizontal="center"/>
    </xf>
    <xf numFmtId="44" fontId="0" fillId="21" borderId="8" xfId="1" applyNumberFormat="1" applyFont="1" applyFill="1" applyBorder="1"/>
    <xf numFmtId="0" fontId="17" fillId="0" borderId="5" xfId="0" applyFont="1" applyBorder="1" applyAlignment="1">
      <alignment vertical="center"/>
    </xf>
    <xf numFmtId="44" fontId="13" fillId="0" borderId="0" xfId="2" applyFont="1" applyFill="1" applyBorder="1" applyAlignment="1">
      <alignment vertical="center"/>
    </xf>
    <xf numFmtId="3" fontId="0" fillId="0" borderId="0" xfId="0" applyNumberFormat="1"/>
    <xf numFmtId="43" fontId="14" fillId="0" borderId="0" xfId="1" applyFont="1" applyFill="1" applyBorder="1"/>
    <xf numFmtId="0" fontId="13" fillId="0" borderId="4" xfId="0" applyFont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43" fontId="68" fillId="0" borderId="4" xfId="1" applyFont="1" applyFill="1" applyBorder="1" applyAlignment="1">
      <alignment vertical="center"/>
    </xf>
    <xf numFmtId="0" fontId="20" fillId="0" borderId="4" xfId="0" applyFont="1" applyBorder="1" applyAlignment="1">
      <alignment vertical="center"/>
    </xf>
    <xf numFmtId="44" fontId="13" fillId="0" borderId="4" xfId="2" applyFont="1" applyFill="1" applyBorder="1" applyAlignment="1">
      <alignment vertical="center"/>
    </xf>
    <xf numFmtId="44" fontId="14" fillId="12" borderId="11" xfId="0" applyNumberFormat="1" applyFont="1" applyFill="1" applyBorder="1"/>
    <xf numFmtId="16" fontId="0" fillId="0" borderId="0" xfId="0" applyNumberFormat="1"/>
    <xf numFmtId="14" fontId="1" fillId="0" borderId="0" xfId="0" applyNumberFormat="1" applyFont="1" applyAlignment="1">
      <alignment horizontal="right" vertical="center"/>
    </xf>
    <xf numFmtId="14" fontId="1" fillId="0" borderId="0" xfId="0" applyNumberFormat="1" applyFont="1" applyAlignment="1">
      <alignment vertical="center"/>
    </xf>
    <xf numFmtId="14" fontId="17" fillId="0" borderId="0" xfId="0" applyNumberFormat="1" applyFont="1" applyAlignment="1">
      <alignment vertical="center"/>
    </xf>
    <xf numFmtId="0" fontId="1" fillId="23" borderId="5" xfId="0" applyFont="1" applyFill="1" applyBorder="1" applyAlignment="1">
      <alignment horizontal="center" vertical="center"/>
    </xf>
    <xf numFmtId="0" fontId="19" fillId="23" borderId="5" xfId="0" applyFont="1" applyFill="1" applyBorder="1" applyAlignment="1">
      <alignment vertical="center"/>
    </xf>
    <xf numFmtId="0" fontId="13" fillId="23" borderId="5" xfId="0" applyFont="1" applyFill="1" applyBorder="1" applyAlignment="1">
      <alignment vertical="center"/>
    </xf>
    <xf numFmtId="43" fontId="13" fillId="23" borderId="5" xfId="0" applyNumberFormat="1" applyFont="1" applyFill="1" applyBorder="1" applyAlignment="1">
      <alignment vertical="center"/>
    </xf>
    <xf numFmtId="43" fontId="69" fillId="23" borderId="5" xfId="0" applyNumberFormat="1" applyFont="1" applyFill="1" applyBorder="1" applyAlignment="1">
      <alignment vertical="center"/>
    </xf>
    <xf numFmtId="44" fontId="13" fillId="23" borderId="5" xfId="2" applyFont="1" applyFill="1" applyBorder="1" applyAlignment="1">
      <alignment vertical="center"/>
    </xf>
    <xf numFmtId="44" fontId="13" fillId="23" borderId="9" xfId="2" applyFont="1" applyFill="1" applyBorder="1" applyAlignment="1">
      <alignment vertical="center"/>
    </xf>
    <xf numFmtId="0" fontId="17" fillId="23" borderId="8" xfId="0" applyFont="1" applyFill="1" applyBorder="1" applyAlignment="1">
      <alignment vertical="center"/>
    </xf>
    <xf numFmtId="0" fontId="17" fillId="23" borderId="0" xfId="0" applyFont="1" applyFill="1" applyAlignment="1">
      <alignment vertical="center"/>
    </xf>
    <xf numFmtId="0" fontId="0" fillId="22" borderId="5" xfId="0" applyFill="1" applyBorder="1"/>
    <xf numFmtId="43" fontId="75" fillId="22" borderId="5" xfId="1" applyFont="1" applyFill="1" applyBorder="1"/>
    <xf numFmtId="43" fontId="0" fillId="22" borderId="5" xfId="1" applyFont="1" applyFill="1" applyBorder="1"/>
    <xf numFmtId="44" fontId="0" fillId="22" borderId="5" xfId="1" applyNumberFormat="1" applyFont="1" applyFill="1" applyBorder="1"/>
    <xf numFmtId="16" fontId="0" fillId="22" borderId="0" xfId="0" applyNumberFormat="1" applyFill="1"/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97" fillId="18" borderId="46" xfId="0" applyFont="1" applyFill="1" applyBorder="1" applyAlignment="1">
      <alignment horizontal="center" vertical="center" wrapText="1"/>
    </xf>
    <xf numFmtId="0" fontId="97" fillId="18" borderId="4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49" fontId="43" fillId="0" borderId="13" xfId="0" applyNumberFormat="1" applyFont="1" applyBorder="1" applyAlignment="1">
      <alignment horizontal="center" vertical="center"/>
    </xf>
    <xf numFmtId="49" fontId="43" fillId="0" borderId="2" xfId="0" applyNumberFormat="1" applyFont="1" applyBorder="1" applyAlignment="1">
      <alignment horizontal="center" vertical="center"/>
    </xf>
    <xf numFmtId="49" fontId="43" fillId="0" borderId="12" xfId="0" applyNumberFormat="1" applyFont="1" applyBorder="1" applyAlignment="1">
      <alignment horizontal="center" vertical="center"/>
    </xf>
    <xf numFmtId="49" fontId="44" fillId="0" borderId="11" xfId="0" applyNumberFormat="1" applyFont="1" applyBorder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49" fontId="44" fillId="0" borderId="20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43" fillId="0" borderId="5" xfId="0" applyNumberFormat="1" applyFont="1" applyBorder="1" applyAlignment="1">
      <alignment horizontal="center" vertical="center"/>
    </xf>
    <xf numFmtId="49" fontId="44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3" fillId="0" borderId="11" xfId="0" applyNumberFormat="1" applyFont="1" applyBorder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49" fontId="43" fillId="0" borderId="20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left" vertical="center" wrapText="1"/>
    </xf>
    <xf numFmtId="49" fontId="5" fillId="0" borderId="40" xfId="0" applyNumberFormat="1" applyFont="1" applyBorder="1" applyAlignment="1">
      <alignment horizontal="left" vertical="center" wrapText="1"/>
    </xf>
    <xf numFmtId="49" fontId="5" fillId="16" borderId="21" xfId="0" applyNumberFormat="1" applyFont="1" applyFill="1" applyBorder="1" applyAlignment="1">
      <alignment horizontal="center" vertical="center"/>
    </xf>
    <xf numFmtId="49" fontId="5" fillId="16" borderId="6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7" fillId="18" borderId="14" xfId="0" applyFont="1" applyFill="1" applyBorder="1" applyAlignment="1">
      <alignment horizontal="center" vertical="center"/>
    </xf>
    <xf numFmtId="0" fontId="87" fillId="18" borderId="4" xfId="0" applyFont="1" applyFill="1" applyBorder="1" applyAlignment="1">
      <alignment horizontal="center" vertical="center"/>
    </xf>
    <xf numFmtId="0" fontId="87" fillId="18" borderId="19" xfId="0" applyFont="1" applyFill="1" applyBorder="1" applyAlignment="1">
      <alignment horizontal="center" vertical="center"/>
    </xf>
    <xf numFmtId="0" fontId="87" fillId="18" borderId="19" xfId="0" applyFont="1" applyFill="1" applyBorder="1" applyAlignment="1">
      <alignment vertical="center"/>
    </xf>
    <xf numFmtId="0" fontId="89" fillId="18" borderId="3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87" fillId="18" borderId="7" xfId="0" applyFont="1" applyFill="1" applyBorder="1" applyAlignment="1">
      <alignment horizontal="center" vertical="center"/>
    </xf>
    <xf numFmtId="0" fontId="87" fillId="18" borderId="15" xfId="0" applyFont="1" applyFill="1" applyBorder="1" applyAlignment="1">
      <alignment horizontal="center" vertical="center"/>
    </xf>
    <xf numFmtId="0" fontId="87" fillId="18" borderId="8" xfId="0" applyFont="1" applyFill="1" applyBorder="1" applyAlignment="1">
      <alignment horizontal="center" vertical="center"/>
    </xf>
    <xf numFmtId="44" fontId="10" fillId="0" borderId="4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2" fillId="0" borderId="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22" fillId="16" borderId="37" xfId="0" applyFont="1" applyFill="1" applyBorder="1" applyAlignment="1">
      <alignment horizontal="center" vertical="center"/>
    </xf>
    <xf numFmtId="0" fontId="22" fillId="16" borderId="34" xfId="0" applyFont="1" applyFill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89" fillId="18" borderId="15" xfId="0" applyFont="1" applyFill="1" applyBorder="1" applyAlignment="1">
      <alignment horizontal="center" vertical="center"/>
    </xf>
    <xf numFmtId="0" fontId="89" fillId="18" borderId="8" xfId="0" applyFont="1" applyFill="1" applyBorder="1" applyAlignment="1">
      <alignment horizontal="center" vertical="center"/>
    </xf>
    <xf numFmtId="0" fontId="89" fillId="18" borderId="9" xfId="0" applyFont="1" applyFill="1" applyBorder="1" applyAlignment="1">
      <alignment horizontal="center" vertical="center"/>
    </xf>
    <xf numFmtId="0" fontId="89" fillId="18" borderId="10" xfId="0" applyFont="1" applyFill="1" applyBorder="1" applyAlignment="1">
      <alignment horizontal="center" vertical="center"/>
    </xf>
    <xf numFmtId="0" fontId="93" fillId="18" borderId="5" xfId="0" applyFont="1" applyFill="1" applyBorder="1" applyAlignment="1">
      <alignment horizontal="center" vertical="center"/>
    </xf>
    <xf numFmtId="0" fontId="93" fillId="18" borderId="3" xfId="0" applyFont="1" applyFill="1" applyBorder="1" applyAlignment="1">
      <alignment horizontal="center" vertical="center"/>
    </xf>
    <xf numFmtId="44" fontId="92" fillId="18" borderId="14" xfId="2" applyFont="1" applyFill="1" applyBorder="1" applyAlignment="1">
      <alignment horizontal="center" vertical="center"/>
    </xf>
    <xf numFmtId="44" fontId="92" fillId="18" borderId="19" xfId="2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44" fontId="92" fillId="18" borderId="2" xfId="2" applyFont="1" applyFill="1" applyBorder="1" applyAlignment="1">
      <alignment horizontal="center" vertical="center"/>
    </xf>
    <xf numFmtId="44" fontId="92" fillId="18" borderId="0" xfId="2" applyFont="1" applyFill="1" applyBorder="1" applyAlignment="1">
      <alignment horizontal="center" vertical="center"/>
    </xf>
    <xf numFmtId="44" fontId="92" fillId="18" borderId="4" xfId="2" applyFont="1" applyFill="1" applyBorder="1" applyAlignment="1">
      <alignment horizontal="center" vertical="center"/>
    </xf>
    <xf numFmtId="0" fontId="10" fillId="16" borderId="25" xfId="0" applyFont="1" applyFill="1" applyBorder="1" applyAlignment="1">
      <alignment horizontal="right" vertical="center"/>
    </xf>
    <xf numFmtId="0" fontId="10" fillId="16" borderId="26" xfId="0" applyFont="1" applyFill="1" applyBorder="1" applyAlignment="1">
      <alignment horizontal="right" vertical="center"/>
    </xf>
    <xf numFmtId="0" fontId="10" fillId="16" borderId="24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58" fillId="0" borderId="0" xfId="0" applyFont="1" applyAlignment="1">
      <alignment horizontal="center"/>
    </xf>
    <xf numFmtId="49" fontId="5" fillId="0" borderId="4" xfId="0" applyNumberFormat="1" applyFont="1" applyBorder="1" applyAlignment="1">
      <alignment horizontal="left" vertical="center"/>
    </xf>
    <xf numFmtId="0" fontId="5" fillId="16" borderId="5" xfId="0" applyFont="1" applyFill="1" applyBorder="1" applyAlignment="1">
      <alignment horizontal="right" vertical="center"/>
    </xf>
    <xf numFmtId="0" fontId="42" fillId="16" borderId="5" xfId="0" applyFont="1" applyFill="1" applyBorder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38" fillId="0" borderId="9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83" fillId="18" borderId="46" xfId="0" applyFont="1" applyFill="1" applyBorder="1" applyAlignment="1">
      <alignment horizontal="center" vertical="center" wrapText="1"/>
    </xf>
    <xf numFmtId="0" fontId="83" fillId="18" borderId="47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62" fillId="2" borderId="4" xfId="0" applyFont="1" applyFill="1" applyBorder="1" applyAlignment="1">
      <alignment horizontal="center"/>
    </xf>
    <xf numFmtId="0" fontId="49" fillId="0" borderId="7" xfId="0" applyFont="1" applyBorder="1" applyAlignment="1">
      <alignment horizontal="center" vertical="center" wrapText="1"/>
    </xf>
    <xf numFmtId="0" fontId="49" fillId="0" borderId="8" xfId="0" applyFont="1" applyBorder="1" applyAlignment="1">
      <alignment horizontal="center" vertical="center" wrapText="1"/>
    </xf>
    <xf numFmtId="0" fontId="48" fillId="0" borderId="5" xfId="0" applyFont="1" applyBorder="1" applyAlignment="1">
      <alignment horizontal="center"/>
    </xf>
    <xf numFmtId="0" fontId="48" fillId="0" borderId="7" xfId="0" applyFont="1" applyBorder="1" applyAlignment="1">
      <alignment horizontal="center"/>
    </xf>
    <xf numFmtId="0" fontId="52" fillId="0" borderId="9" xfId="0" applyFont="1" applyBorder="1" applyAlignment="1">
      <alignment horizontal="center"/>
    </xf>
    <xf numFmtId="0" fontId="52" fillId="0" borderId="3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3" fillId="0" borderId="4" xfId="0" applyFont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E2FBC9"/>
      <color rgb="FFEAFCD8"/>
      <color rgb="FFF0FDE3"/>
      <color rgb="FFDBF9BD"/>
      <color rgb="FFF89E9C"/>
      <color rgb="FFF56587"/>
      <color rgb="FFFF6699"/>
      <color rgb="FFFFEBF2"/>
      <color rgb="FFFFDDE8"/>
      <color rgb="FFFFC5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704850</xdr:colOff>
      <xdr:row>35</xdr:row>
      <xdr:rowOff>200025</xdr:rowOff>
    </xdr:from>
    <xdr:to>
      <xdr:col>13</xdr:col>
      <xdr:colOff>104775</xdr:colOff>
      <xdr:row>37</xdr:row>
      <xdr:rowOff>114300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3305175" y="11668125"/>
          <a:ext cx="2486025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C.</a:t>
          </a:r>
          <a:r>
            <a:rPr lang="es-MX" sz="1000" b="1" baseline="0">
              <a:latin typeface="Arial" panose="020B0604020202020204" pitchFamily="34" charset="0"/>
              <a:cs typeface="Arial" panose="020B0604020202020204" pitchFamily="34" charset="0"/>
            </a:rPr>
            <a:t> ILIANA CRISTINA ESPARZA RIOS </a:t>
          </a:r>
          <a:endParaRPr lang="es-MX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VISTO BUENO</a:t>
          </a:r>
        </a:p>
      </xdr:txBody>
    </xdr:sp>
    <xdr:clientData/>
  </xdr:twoCellAnchor>
  <xdr:twoCellAnchor>
    <xdr:from>
      <xdr:col>5</xdr:col>
      <xdr:colOff>638175</xdr:colOff>
      <xdr:row>34</xdr:row>
      <xdr:rowOff>781050</xdr:rowOff>
    </xdr:from>
    <xdr:to>
      <xdr:col>13</xdr:col>
      <xdr:colOff>381000</xdr:colOff>
      <xdr:row>34</xdr:row>
      <xdr:rowOff>781050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>
          <a:off x="3238500" y="11458575"/>
          <a:ext cx="2828925" cy="0"/>
        </a:xfrm>
        <a:prstGeom prst="line">
          <a:avLst/>
        </a:prstGeom>
        <a:ln w="127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142875</xdr:colOff>
      <xdr:row>35</xdr:row>
      <xdr:rowOff>152400</xdr:rowOff>
    </xdr:from>
    <xdr:to>
      <xdr:col>5</xdr:col>
      <xdr:colOff>95250</xdr:colOff>
      <xdr:row>37</xdr:row>
      <xdr:rowOff>66675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CB1F74AB-1C89-4266-A1F0-2872A153005F}"/>
            </a:ext>
          </a:extLst>
        </xdr:cNvPr>
        <xdr:cNvSpPr txBox="1"/>
      </xdr:nvSpPr>
      <xdr:spPr>
        <a:xfrm>
          <a:off x="142875" y="11620500"/>
          <a:ext cx="2486025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C.</a:t>
          </a:r>
          <a:r>
            <a:rPr lang="es-MX" sz="1000" b="1" baseline="0">
              <a:latin typeface="Arial" panose="020B0604020202020204" pitchFamily="34" charset="0"/>
              <a:cs typeface="Arial" panose="020B0604020202020204" pitchFamily="34" charset="0"/>
            </a:rPr>
            <a:t> JUAN ZENON TORRES CARRILLO </a:t>
          </a:r>
          <a:endParaRPr lang="es-MX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VISTO BUENO</a:t>
          </a:r>
        </a:p>
      </xdr:txBody>
    </xdr:sp>
    <xdr:clientData/>
  </xdr:twoCellAnchor>
  <xdr:twoCellAnchor>
    <xdr:from>
      <xdr:col>15</xdr:col>
      <xdr:colOff>57150</xdr:colOff>
      <xdr:row>35</xdr:row>
      <xdr:rowOff>180975</xdr:rowOff>
    </xdr:from>
    <xdr:to>
      <xdr:col>18</xdr:col>
      <xdr:colOff>66675</xdr:colOff>
      <xdr:row>37</xdr:row>
      <xdr:rowOff>95250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451C925-F86A-424C-A3EC-D7CCDBCCA2A6}"/>
            </a:ext>
          </a:extLst>
        </xdr:cNvPr>
        <xdr:cNvSpPr txBox="1"/>
      </xdr:nvSpPr>
      <xdr:spPr>
        <a:xfrm>
          <a:off x="7029450" y="11649075"/>
          <a:ext cx="2486025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C.</a:t>
          </a:r>
          <a:r>
            <a:rPr lang="es-MX" sz="1000" b="1" baseline="0">
              <a:latin typeface="Arial" panose="020B0604020202020204" pitchFamily="34" charset="0"/>
              <a:cs typeface="Arial" panose="020B0604020202020204" pitchFamily="34" charset="0"/>
            </a:rPr>
            <a:t> ELPIDIO MACIAS GALINDO </a:t>
          </a:r>
          <a:endParaRPr lang="es-MX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AUTORIZO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146538</xdr:colOff>
      <xdr:row>75</xdr:row>
      <xdr:rowOff>31401</xdr:rowOff>
    </xdr:from>
    <xdr:to>
      <xdr:col>11</xdr:col>
      <xdr:colOff>1884064</xdr:colOff>
      <xdr:row>77</xdr:row>
      <xdr:rowOff>167472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pSpPr/>
      </xdr:nvGrpSpPr>
      <xdr:grpSpPr>
        <a:xfrm>
          <a:off x="512884" y="25979176"/>
          <a:ext cx="12874449" cy="512884"/>
          <a:chOff x="617555" y="24430054"/>
          <a:chExt cx="12706977" cy="512885"/>
        </a:xfrm>
      </xdr:grpSpPr>
      <xdr:sp macro="" textlink="">
        <xdr:nvSpPr>
          <xdr:cNvPr id="2" name="CuadroTexto 1">
            <a:extLst>
              <a:ext uri="{FF2B5EF4-FFF2-40B4-BE49-F238E27FC236}">
                <a16:creationId xmlns:a16="http://schemas.microsoft.com/office/drawing/2014/main" id="{00000000-0008-0000-0800-000002000000}"/>
              </a:ext>
            </a:extLst>
          </xdr:cNvPr>
          <xdr:cNvSpPr txBox="1"/>
        </xdr:nvSpPr>
        <xdr:spPr>
          <a:xfrm>
            <a:off x="617555" y="24471924"/>
            <a:ext cx="2826099" cy="43961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square" rtlCol="0" anchor="t"/>
          <a:lstStyle/>
          <a:p>
            <a:pPr algn="ctr"/>
            <a:r>
              <a:rPr lang="es-MX" sz="11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C.</a:t>
            </a:r>
            <a:r>
              <a:rPr lang="es-MX" sz="11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JUAN ZENON TORRES CARRILLO </a:t>
            </a:r>
          </a:p>
          <a:p>
            <a:pPr algn="ctr"/>
            <a:r>
              <a:rPr lang="es-MX" sz="11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VISTO BUENO</a:t>
            </a:r>
          </a:p>
          <a:p>
            <a:endParaRPr lang="es-MX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00000000-0008-0000-0800-000003000000}"/>
              </a:ext>
            </a:extLst>
          </xdr:cNvPr>
          <xdr:cNvSpPr txBox="1"/>
        </xdr:nvSpPr>
        <xdr:spPr>
          <a:xfrm>
            <a:off x="4657830" y="24471923"/>
            <a:ext cx="3715796" cy="47101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square" rtlCol="0" anchor="t"/>
          <a:lstStyle/>
          <a:p>
            <a:pPr algn="ctr"/>
            <a:r>
              <a:rPr lang="es-MX" sz="11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C. ILIANA CRISTINA ESPARZA RIOS </a:t>
            </a:r>
          </a:p>
          <a:p>
            <a:pPr algn="ctr"/>
            <a:r>
              <a:rPr lang="es-MX" sz="11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VISTO BUENO</a:t>
            </a:r>
            <a:endParaRPr lang="es-MX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00000000-0008-0000-0800-000004000000}"/>
              </a:ext>
            </a:extLst>
          </xdr:cNvPr>
          <xdr:cNvSpPr txBox="1"/>
        </xdr:nvSpPr>
        <xdr:spPr>
          <a:xfrm>
            <a:off x="9985550" y="24461456"/>
            <a:ext cx="3234313" cy="4605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square" rtlCol="0" anchor="t"/>
          <a:lstStyle/>
          <a:p>
            <a:pPr algn="ctr"/>
            <a:r>
              <a:rPr lang="es-MX" sz="1100" b="1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C.</a:t>
            </a:r>
            <a:r>
              <a:rPr lang="es-MX" sz="1100" b="1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ELPIDIO MACIAS GALINDO</a:t>
            </a:r>
            <a:endParaRPr lang="es-MX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11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AUTORIZO</a:t>
            </a:r>
            <a:endParaRPr lang="es-MX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00000000-0008-0000-0800-000007000000}"/>
              </a:ext>
            </a:extLst>
          </xdr:cNvPr>
          <xdr:cNvCxnSpPr/>
        </xdr:nvCxnSpPr>
        <xdr:spPr>
          <a:xfrm>
            <a:off x="4668297" y="24430054"/>
            <a:ext cx="366346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Conector recto 12">
            <a:extLst>
              <a:ext uri="{FF2B5EF4-FFF2-40B4-BE49-F238E27FC236}">
                <a16:creationId xmlns:a16="http://schemas.microsoft.com/office/drawing/2014/main" id="{00000000-0008-0000-0800-00000D000000}"/>
              </a:ext>
            </a:extLst>
          </xdr:cNvPr>
          <xdr:cNvCxnSpPr/>
        </xdr:nvCxnSpPr>
        <xdr:spPr>
          <a:xfrm>
            <a:off x="9661071" y="24430054"/>
            <a:ext cx="366346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37</xdr:row>
      <xdr:rowOff>9483</xdr:rowOff>
    </xdr:from>
    <xdr:to>
      <xdr:col>10</xdr:col>
      <xdr:colOff>2028825</xdr:colOff>
      <xdr:row>40</xdr:row>
      <xdr:rowOff>104732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pSpPr/>
      </xdr:nvGrpSpPr>
      <xdr:grpSpPr>
        <a:xfrm>
          <a:off x="447675" y="7896183"/>
          <a:ext cx="11753850" cy="666749"/>
          <a:chOff x="968012" y="24430054"/>
          <a:chExt cx="12356520" cy="427404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00000000-0008-0000-0900-000003000000}"/>
              </a:ext>
            </a:extLst>
          </xdr:cNvPr>
          <xdr:cNvSpPr txBox="1"/>
        </xdr:nvSpPr>
        <xdr:spPr>
          <a:xfrm>
            <a:off x="968012" y="24471925"/>
            <a:ext cx="2826100" cy="36723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/>
          <a:lstStyle/>
          <a:p>
            <a:pPr algn="ctr"/>
            <a:r>
              <a:rPr lang="es-MX" sz="11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C.</a:t>
            </a:r>
            <a:r>
              <a:rPr lang="es-MX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Juan Zenon Torres Carrillo </a:t>
            </a:r>
          </a:p>
          <a:p>
            <a:pPr algn="ctr"/>
            <a:r>
              <a:rPr lang="es-MX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VISTO BUENO</a:t>
            </a:r>
          </a:p>
          <a:p>
            <a:endParaRPr lang="es-MX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00000000-0008-0000-0900-000004000000}"/>
              </a:ext>
            </a:extLst>
          </xdr:cNvPr>
          <xdr:cNvSpPr txBox="1"/>
        </xdr:nvSpPr>
        <xdr:spPr>
          <a:xfrm>
            <a:off x="4657830" y="24471923"/>
            <a:ext cx="3715796" cy="3611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/>
          <a:lstStyle/>
          <a:p>
            <a:pPr algn="ctr"/>
            <a:r>
              <a:rPr lang="es-MX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C. Iliana Cristina Esparza Rios  </a:t>
            </a:r>
          </a:p>
          <a:p>
            <a:pPr algn="ctr"/>
            <a:r>
              <a:rPr lang="es-MX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VISTO BUENO</a:t>
            </a:r>
            <a:endParaRPr lang="es-MX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00000000-0008-0000-0900-000005000000}"/>
              </a:ext>
            </a:extLst>
          </xdr:cNvPr>
          <xdr:cNvSpPr txBox="1"/>
        </xdr:nvSpPr>
        <xdr:spPr>
          <a:xfrm>
            <a:off x="9985550" y="24461456"/>
            <a:ext cx="3234313" cy="39600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100" b="1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C.</a:t>
            </a:r>
            <a:r>
              <a:rPr lang="es-MX" sz="1100" b="1" baseline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Elpidio Macias Galindo </a:t>
            </a:r>
            <a:endParaRPr lang="es-MX" sz="1100" b="1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1100" b="1" baseline="0">
                <a:latin typeface="Arial" panose="020B0604020202020204" pitchFamily="34" charset="0"/>
                <a:cs typeface="Arial" panose="020B0604020202020204" pitchFamily="34" charset="0"/>
              </a:rPr>
              <a:t>AUTORIZO</a:t>
            </a:r>
            <a:endParaRPr lang="es-MX" sz="11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00000000-0008-0000-0900-000006000000}"/>
              </a:ext>
            </a:extLst>
          </xdr:cNvPr>
          <xdr:cNvCxnSpPr/>
        </xdr:nvCxnSpPr>
        <xdr:spPr>
          <a:xfrm>
            <a:off x="4668297" y="24430054"/>
            <a:ext cx="366346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00000000-0008-0000-0900-000007000000}"/>
              </a:ext>
            </a:extLst>
          </xdr:cNvPr>
          <xdr:cNvCxnSpPr/>
        </xdr:nvCxnSpPr>
        <xdr:spPr>
          <a:xfrm>
            <a:off x="9661071" y="24430054"/>
            <a:ext cx="366346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 fLocksWithSheet="0"/>
  </xdr:twoCellAnchor>
  <xdr:twoCellAnchor>
    <xdr:from>
      <xdr:col>2</xdr:col>
      <xdr:colOff>9525</xdr:colOff>
      <xdr:row>37</xdr:row>
      <xdr:rowOff>0</xdr:rowOff>
    </xdr:from>
    <xdr:to>
      <xdr:col>5</xdr:col>
      <xdr:colOff>647700</xdr:colOff>
      <xdr:row>37</xdr:row>
      <xdr:rowOff>0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CxnSpPr/>
      </xdr:nvCxnSpPr>
      <xdr:spPr>
        <a:xfrm>
          <a:off x="476250" y="7381875"/>
          <a:ext cx="28575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633413</xdr:colOff>
      <xdr:row>18</xdr:row>
      <xdr:rowOff>9524</xdr:rowOff>
    </xdr:from>
    <xdr:to>
      <xdr:col>6</xdr:col>
      <xdr:colOff>295277</xdr:colOff>
      <xdr:row>18</xdr:row>
      <xdr:rowOff>133347</xdr:rowOff>
    </xdr:to>
    <xdr:sp macro="" textlink="">
      <xdr:nvSpPr>
        <xdr:cNvPr id="4" name="Abrir llav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 rot="16200000">
          <a:off x="4988721" y="1616866"/>
          <a:ext cx="123823" cy="1519239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39"/>
  <sheetViews>
    <sheetView workbookViewId="0">
      <selection activeCell="C19" sqref="C19"/>
    </sheetView>
  </sheetViews>
  <sheetFormatPr baseColWidth="10" defaultColWidth="13.42578125" defaultRowHeight="15"/>
  <cols>
    <col min="1" max="1" width="13.42578125" style="147"/>
    <col min="2" max="2" width="7" style="147" customWidth="1"/>
    <col min="3" max="3" width="36.85546875" style="147" customWidth="1"/>
    <col min="4" max="5" width="13.42578125" style="147"/>
    <col min="6" max="6" width="1.42578125" style="147" customWidth="1"/>
    <col min="7" max="8" width="13.42578125" style="147"/>
    <col min="9" max="9" width="12.42578125" style="147" customWidth="1"/>
    <col min="10" max="10" width="9.28515625" style="147" customWidth="1"/>
    <col min="11" max="11" width="13.42578125" style="147"/>
    <col min="12" max="12" width="12.42578125" style="147" customWidth="1"/>
    <col min="13" max="13" width="44" style="147" customWidth="1"/>
    <col min="14" max="16384" width="13.42578125" style="147"/>
  </cols>
  <sheetData>
    <row r="1" spans="2:20">
      <c r="B1" s="34"/>
      <c r="C1" s="647"/>
      <c r="D1" s="648"/>
      <c r="E1" s="648"/>
      <c r="F1" s="648"/>
      <c r="G1" s="648"/>
      <c r="H1" s="648"/>
      <c r="I1" s="271"/>
      <c r="J1" s="22"/>
      <c r="K1" s="22"/>
      <c r="L1" s="22"/>
      <c r="M1" s="22"/>
    </row>
    <row r="2" spans="2:20" ht="19.5">
      <c r="B2" s="649" t="s">
        <v>200</v>
      </c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1"/>
    </row>
    <row r="3" spans="2:20">
      <c r="B3" s="652" t="s">
        <v>824</v>
      </c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4"/>
    </row>
    <row r="4" spans="2:20">
      <c r="B4" s="23" t="s">
        <v>727</v>
      </c>
      <c r="C4" s="24" t="s">
        <v>0</v>
      </c>
      <c r="D4" s="14"/>
      <c r="E4" s="14"/>
      <c r="F4" s="14"/>
      <c r="G4" s="14"/>
      <c r="H4" s="14"/>
      <c r="I4" s="14"/>
      <c r="J4" s="14"/>
      <c r="K4" s="14"/>
      <c r="L4" s="14"/>
      <c r="M4" s="25"/>
    </row>
    <row r="5" spans="2:20"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26"/>
    </row>
    <row r="6" spans="2:20" ht="33.75">
      <c r="B6" s="512" t="s">
        <v>1</v>
      </c>
      <c r="C6" s="645" t="s">
        <v>2</v>
      </c>
      <c r="D6" s="646"/>
      <c r="E6" s="511" t="s">
        <v>213</v>
      </c>
      <c r="F6" s="511"/>
      <c r="G6" s="511" t="s">
        <v>5</v>
      </c>
      <c r="H6" s="511" t="s">
        <v>43</v>
      </c>
      <c r="I6" s="511" t="s">
        <v>544</v>
      </c>
      <c r="J6" s="511" t="s">
        <v>42</v>
      </c>
      <c r="K6" s="511" t="s">
        <v>6</v>
      </c>
      <c r="L6" s="511" t="s">
        <v>7</v>
      </c>
      <c r="M6" s="447" t="s">
        <v>29</v>
      </c>
    </row>
    <row r="7" spans="2:20">
      <c r="B7" s="41" t="s">
        <v>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8"/>
      <c r="P7" s="149"/>
    </row>
    <row r="8" spans="2:20" ht="39.950000000000003" customHeight="1">
      <c r="B8" s="150" t="s">
        <v>253</v>
      </c>
      <c r="C8" s="643" t="s">
        <v>730</v>
      </c>
      <c r="D8" s="644"/>
      <c r="E8" s="8" t="s">
        <v>214</v>
      </c>
      <c r="F8" s="8">
        <v>0</v>
      </c>
      <c r="G8" s="8">
        <v>12370</v>
      </c>
      <c r="H8" s="8">
        <v>0</v>
      </c>
      <c r="I8" s="8"/>
      <c r="J8" s="8">
        <v>1922</v>
      </c>
      <c r="K8" s="8">
        <f>J8</f>
        <v>1922</v>
      </c>
      <c r="L8" s="151">
        <f>G8+H8-J8-I8</f>
        <v>10448</v>
      </c>
      <c r="M8" s="3"/>
      <c r="P8" s="149"/>
    </row>
    <row r="9" spans="2:20" ht="39.950000000000003" customHeight="1">
      <c r="B9" s="150" t="s">
        <v>254</v>
      </c>
      <c r="C9" s="643" t="s">
        <v>420</v>
      </c>
      <c r="D9" s="644"/>
      <c r="E9" s="8" t="s">
        <v>214</v>
      </c>
      <c r="F9" s="8"/>
      <c r="G9" s="8">
        <v>12370</v>
      </c>
      <c r="H9" s="8">
        <v>0</v>
      </c>
      <c r="I9" s="8"/>
      <c r="J9" s="8">
        <v>1922</v>
      </c>
      <c r="K9" s="8">
        <f t="shared" ref="K9:K17" si="0">J9</f>
        <v>1922</v>
      </c>
      <c r="L9" s="151">
        <f t="shared" ref="L9:L17" si="1">G9+H9-J9-I9</f>
        <v>10448</v>
      </c>
      <c r="M9" s="116"/>
      <c r="P9" s="149"/>
    </row>
    <row r="10" spans="2:20" ht="39.950000000000003" customHeight="1">
      <c r="B10" s="150" t="s">
        <v>255</v>
      </c>
      <c r="C10" s="643" t="s">
        <v>523</v>
      </c>
      <c r="D10" s="644"/>
      <c r="E10" s="8" t="s">
        <v>214</v>
      </c>
      <c r="F10" s="8"/>
      <c r="G10" s="8">
        <v>12370</v>
      </c>
      <c r="H10" s="8">
        <v>0</v>
      </c>
      <c r="I10" s="8"/>
      <c r="J10" s="8">
        <v>1922</v>
      </c>
      <c r="K10" s="8">
        <f t="shared" si="0"/>
        <v>1922</v>
      </c>
      <c r="L10" s="151">
        <f t="shared" si="1"/>
        <v>10448</v>
      </c>
      <c r="M10" s="116"/>
      <c r="P10" s="149"/>
    </row>
    <row r="11" spans="2:20" ht="39.950000000000003" customHeight="1">
      <c r="B11" s="150" t="s">
        <v>256</v>
      </c>
      <c r="C11" s="643" t="s">
        <v>787</v>
      </c>
      <c r="D11" s="644"/>
      <c r="E11" s="8" t="s">
        <v>214</v>
      </c>
      <c r="F11" s="8"/>
      <c r="G11" s="8">
        <v>12370</v>
      </c>
      <c r="H11" s="8">
        <v>0</v>
      </c>
      <c r="I11" s="8"/>
      <c r="J11" s="8">
        <v>1922</v>
      </c>
      <c r="K11" s="8">
        <f t="shared" si="0"/>
        <v>1922</v>
      </c>
      <c r="L11" s="151">
        <f t="shared" si="1"/>
        <v>10448</v>
      </c>
      <c r="M11" s="116"/>
      <c r="P11" s="149"/>
    </row>
    <row r="12" spans="2:20" ht="39.950000000000003" customHeight="1">
      <c r="B12" s="150" t="s">
        <v>257</v>
      </c>
      <c r="C12" s="643" t="s">
        <v>40</v>
      </c>
      <c r="D12" s="644"/>
      <c r="E12" s="8" t="s">
        <v>214</v>
      </c>
      <c r="F12" s="8"/>
      <c r="G12" s="8">
        <v>12370</v>
      </c>
      <c r="H12" s="8">
        <v>0</v>
      </c>
      <c r="I12" s="8"/>
      <c r="J12" s="8">
        <v>1922</v>
      </c>
      <c r="K12" s="8">
        <f t="shared" si="0"/>
        <v>1922</v>
      </c>
      <c r="L12" s="151">
        <f t="shared" si="1"/>
        <v>10448</v>
      </c>
      <c r="M12" s="116"/>
      <c r="P12" s="149"/>
    </row>
    <row r="13" spans="2:20" ht="39.950000000000003" customHeight="1">
      <c r="B13" s="150" t="s">
        <v>258</v>
      </c>
      <c r="C13" s="643" t="s">
        <v>683</v>
      </c>
      <c r="D13" s="644"/>
      <c r="E13" s="8" t="s">
        <v>214</v>
      </c>
      <c r="F13" s="8"/>
      <c r="G13" s="8">
        <v>12370</v>
      </c>
      <c r="H13" s="8">
        <v>0</v>
      </c>
      <c r="I13" s="8"/>
      <c r="J13" s="8">
        <v>1922</v>
      </c>
      <c r="K13" s="8">
        <f t="shared" si="0"/>
        <v>1922</v>
      </c>
      <c r="L13" s="151">
        <f t="shared" si="1"/>
        <v>10448</v>
      </c>
      <c r="M13" s="116"/>
      <c r="N13" s="281"/>
      <c r="P13" s="149"/>
    </row>
    <row r="14" spans="2:20" ht="39.950000000000003" customHeight="1">
      <c r="B14" s="150" t="s">
        <v>259</v>
      </c>
      <c r="C14" s="643" t="s">
        <v>34</v>
      </c>
      <c r="D14" s="644"/>
      <c r="E14" s="8" t="s">
        <v>214</v>
      </c>
      <c r="F14" s="8"/>
      <c r="G14" s="8">
        <v>12370</v>
      </c>
      <c r="H14" s="8">
        <v>0</v>
      </c>
      <c r="I14" s="8"/>
      <c r="J14" s="8">
        <v>1922</v>
      </c>
      <c r="K14" s="8">
        <f t="shared" si="0"/>
        <v>1922</v>
      </c>
      <c r="L14" s="151">
        <f t="shared" si="1"/>
        <v>10448</v>
      </c>
      <c r="M14" s="116"/>
      <c r="P14" s="149"/>
    </row>
    <row r="15" spans="2:20" ht="39.950000000000003" customHeight="1">
      <c r="B15" s="150" t="s">
        <v>260</v>
      </c>
      <c r="C15" s="643" t="s">
        <v>32</v>
      </c>
      <c r="D15" s="644"/>
      <c r="E15" s="8" t="s">
        <v>214</v>
      </c>
      <c r="F15" s="8"/>
      <c r="G15" s="8">
        <v>12370</v>
      </c>
      <c r="H15" s="8">
        <v>0</v>
      </c>
      <c r="I15" s="8"/>
      <c r="J15" s="8">
        <v>1922</v>
      </c>
      <c r="K15" s="8">
        <f t="shared" si="0"/>
        <v>1922</v>
      </c>
      <c r="L15" s="151">
        <f t="shared" si="1"/>
        <v>10448</v>
      </c>
      <c r="M15" s="3"/>
      <c r="P15" s="149"/>
      <c r="S15" s="152">
        <v>81249.2</v>
      </c>
      <c r="T15" s="147" t="s">
        <v>210</v>
      </c>
    </row>
    <row r="16" spans="2:20" ht="39.950000000000003" customHeight="1">
      <c r="B16" s="150" t="s">
        <v>261</v>
      </c>
      <c r="C16" s="643" t="s">
        <v>33</v>
      </c>
      <c r="D16" s="644"/>
      <c r="E16" s="8" t="s">
        <v>214</v>
      </c>
      <c r="F16" s="8"/>
      <c r="G16" s="8">
        <v>12370</v>
      </c>
      <c r="H16" s="8">
        <v>0</v>
      </c>
      <c r="I16" s="8"/>
      <c r="J16" s="8">
        <v>1922</v>
      </c>
      <c r="K16" s="8">
        <f>I16+J16</f>
        <v>1922</v>
      </c>
      <c r="L16" s="151">
        <f>G16-K16</f>
        <v>10448</v>
      </c>
      <c r="M16" s="3"/>
      <c r="P16" s="149"/>
      <c r="S16" s="152">
        <v>262038.17</v>
      </c>
      <c r="T16" s="147" t="s">
        <v>201</v>
      </c>
    </row>
    <row r="17" spans="2:20" ht="39.950000000000003" customHeight="1">
      <c r="B17" s="150" t="s">
        <v>262</v>
      </c>
      <c r="C17" s="643" t="s">
        <v>542</v>
      </c>
      <c r="D17" s="644"/>
      <c r="E17" s="8" t="s">
        <v>215</v>
      </c>
      <c r="F17" s="8"/>
      <c r="G17" s="8">
        <v>12370</v>
      </c>
      <c r="H17" s="8">
        <v>0</v>
      </c>
      <c r="I17" s="8"/>
      <c r="J17" s="8">
        <v>1922</v>
      </c>
      <c r="K17" s="8">
        <f t="shared" si="0"/>
        <v>1922</v>
      </c>
      <c r="L17" s="151">
        <f t="shared" si="1"/>
        <v>10448</v>
      </c>
      <c r="M17" s="3"/>
      <c r="P17" s="149"/>
      <c r="S17" s="153"/>
      <c r="T17" s="154"/>
    </row>
    <row r="18" spans="2:20" ht="15.75" thickBot="1">
      <c r="B18" s="155"/>
      <c r="C18" s="503" t="s">
        <v>44</v>
      </c>
      <c r="D18" s="504">
        <f>SUM(D8:D17)</f>
        <v>0</v>
      </c>
      <c r="E18" s="504"/>
      <c r="F18" s="504">
        <f t="shared" ref="F18:H18" si="2">SUM(F8:F17)</f>
        <v>0</v>
      </c>
      <c r="G18" s="504">
        <f>SUM(G8:G17)</f>
        <v>123700</v>
      </c>
      <c r="H18" s="504">
        <f t="shared" si="2"/>
        <v>0</v>
      </c>
      <c r="I18" s="504">
        <f>SUM(I8:I17)</f>
        <v>0</v>
      </c>
      <c r="J18" s="536">
        <f>SUM(J8:J17)</f>
        <v>19220</v>
      </c>
      <c r="K18" s="504">
        <f>SUM(K8:K17)</f>
        <v>19220</v>
      </c>
      <c r="L18" s="207">
        <f>SUM(L8:L17)</f>
        <v>104480</v>
      </c>
      <c r="M18" s="537"/>
      <c r="P18" s="149"/>
    </row>
    <row r="19" spans="2:20" ht="15.75" thickTop="1">
      <c r="J19" s="254"/>
      <c r="L19" s="156" t="s">
        <v>45</v>
      </c>
      <c r="P19" s="149"/>
    </row>
    <row r="20" spans="2:20">
      <c r="P20" s="149"/>
      <c r="S20" s="152">
        <v>81333.070000000007</v>
      </c>
      <c r="T20" s="147" t="s">
        <v>211</v>
      </c>
    </row>
    <row r="21" spans="2:20">
      <c r="F21" s="160"/>
      <c r="G21" s="160"/>
      <c r="H21" s="160"/>
      <c r="I21" s="160"/>
      <c r="J21" s="160"/>
      <c r="L21" s="160"/>
      <c r="M21" s="160"/>
      <c r="P21" s="149"/>
      <c r="S21" s="152">
        <v>53056.03</v>
      </c>
      <c r="T21" s="147" t="s">
        <v>212</v>
      </c>
    </row>
    <row r="22" spans="2:20">
      <c r="B22" s="655" t="s">
        <v>738</v>
      </c>
      <c r="C22" s="655"/>
      <c r="D22" s="159"/>
      <c r="F22" s="657" t="s">
        <v>783</v>
      </c>
      <c r="G22" s="657"/>
      <c r="H22" s="657"/>
      <c r="I22" s="657"/>
      <c r="J22" s="657"/>
      <c r="L22" s="655" t="s">
        <v>673</v>
      </c>
      <c r="M22" s="655"/>
      <c r="N22" s="5"/>
      <c r="P22" s="97"/>
      <c r="Q22" s="97"/>
      <c r="S22" s="153"/>
    </row>
    <row r="23" spans="2:20">
      <c r="B23" s="656" t="s">
        <v>139</v>
      </c>
      <c r="C23" s="656"/>
      <c r="D23" s="5"/>
      <c r="F23" s="656" t="s">
        <v>392</v>
      </c>
      <c r="G23" s="656"/>
      <c r="H23" s="656"/>
      <c r="I23" s="656"/>
      <c r="J23" s="656"/>
      <c r="L23" s="656" t="s">
        <v>30</v>
      </c>
      <c r="M23" s="656"/>
      <c r="N23" s="5"/>
      <c r="P23" s="5"/>
      <c r="Q23" s="5"/>
    </row>
    <row r="24" spans="2:20">
      <c r="P24" s="149"/>
    </row>
    <row r="25" spans="2:20">
      <c r="P25" s="149"/>
      <c r="S25" s="152">
        <v>96237.05</v>
      </c>
      <c r="T25" s="147" t="s">
        <v>202</v>
      </c>
    </row>
    <row r="26" spans="2:20">
      <c r="P26" s="149"/>
    </row>
    <row r="27" spans="2:20">
      <c r="L27" s="254">
        <f>G18-I18-J18</f>
        <v>104480</v>
      </c>
      <c r="P27" s="149"/>
      <c r="S27" s="152">
        <v>103878.79</v>
      </c>
      <c r="T27" s="147" t="s">
        <v>209</v>
      </c>
    </row>
    <row r="28" spans="2:20">
      <c r="L28" s="254">
        <f>L18-L27</f>
        <v>0</v>
      </c>
      <c r="P28" s="149"/>
    </row>
    <row r="29" spans="2:20">
      <c r="P29" s="149"/>
      <c r="S29" s="152">
        <v>128320</v>
      </c>
      <c r="T29" s="147" t="s">
        <v>249</v>
      </c>
    </row>
    <row r="30" spans="2:20">
      <c r="P30" s="157"/>
      <c r="S30" s="158">
        <f>SUM(S15:S29)</f>
        <v>806112.31</v>
      </c>
      <c r="T30" s="147" t="s">
        <v>250</v>
      </c>
    </row>
    <row r="31" spans="2:20">
      <c r="P31" s="157"/>
    </row>
    <row r="32" spans="2:20">
      <c r="P32" s="157"/>
    </row>
    <row r="33" spans="16:16">
      <c r="P33" s="157"/>
    </row>
    <row r="34" spans="16:16">
      <c r="P34" s="157"/>
    </row>
    <row r="35" spans="16:16">
      <c r="P35" s="157"/>
    </row>
    <row r="36" spans="16:16">
      <c r="P36" s="157"/>
    </row>
    <row r="37" spans="16:16">
      <c r="P37" s="157"/>
    </row>
    <row r="38" spans="16:16">
      <c r="P38" s="157"/>
    </row>
    <row r="39" spans="16:16">
      <c r="P39" s="157"/>
    </row>
  </sheetData>
  <mergeCells count="20">
    <mergeCell ref="B22:C22"/>
    <mergeCell ref="B23:C23"/>
    <mergeCell ref="L22:M22"/>
    <mergeCell ref="L23:M23"/>
    <mergeCell ref="F22:J22"/>
    <mergeCell ref="F23:J23"/>
    <mergeCell ref="C15:D15"/>
    <mergeCell ref="C16:D16"/>
    <mergeCell ref="C17:D17"/>
    <mergeCell ref="C6:D6"/>
    <mergeCell ref="C1:H1"/>
    <mergeCell ref="B2:M2"/>
    <mergeCell ref="B3:M3"/>
    <mergeCell ref="C8:D8"/>
    <mergeCell ref="C9:D9"/>
    <mergeCell ref="C10:D10"/>
    <mergeCell ref="C11:D11"/>
    <mergeCell ref="C12:D12"/>
    <mergeCell ref="C13:D13"/>
    <mergeCell ref="C14:D14"/>
  </mergeCells>
  <printOptions horizontalCentered="1"/>
  <pageMargins left="0.7" right="0.7" top="0.75" bottom="0.75" header="0.3" footer="0.3"/>
  <pageSetup paperSize="5" scale="8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2:L35"/>
  <sheetViews>
    <sheetView workbookViewId="0">
      <selection activeCell="G9" sqref="G9"/>
    </sheetView>
  </sheetViews>
  <sheetFormatPr baseColWidth="10" defaultRowHeight="15"/>
  <cols>
    <col min="1" max="1" width="2" customWidth="1"/>
    <col min="2" max="2" width="5" customWidth="1"/>
    <col min="3" max="3" width="9.7109375" customWidth="1"/>
    <col min="5" max="5" width="13.42578125" customWidth="1"/>
    <col min="6" max="6" width="18.140625" customWidth="1"/>
    <col min="7" max="7" width="51.5703125" customWidth="1"/>
    <col min="8" max="8" width="4.42578125" customWidth="1"/>
    <col min="9" max="9" width="20.7109375" customWidth="1"/>
    <col min="10" max="10" width="16.140625" customWidth="1"/>
    <col min="11" max="11" width="32.140625" customWidth="1"/>
    <col min="12" max="12" width="23.140625" customWidth="1"/>
  </cols>
  <sheetData>
    <row r="2" spans="3:12" ht="24.75">
      <c r="C2" s="732" t="s">
        <v>518</v>
      </c>
      <c r="D2" s="732"/>
      <c r="E2" s="732"/>
      <c r="F2" s="732"/>
      <c r="G2" s="732"/>
      <c r="H2" s="732"/>
      <c r="I2" s="732"/>
      <c r="J2" s="732"/>
      <c r="K2" s="242"/>
    </row>
    <row r="3" spans="3:12" ht="42.75">
      <c r="C3" s="733" t="s">
        <v>811</v>
      </c>
      <c r="D3" s="733"/>
      <c r="E3" s="733"/>
      <c r="F3" s="733"/>
      <c r="G3" s="733"/>
      <c r="H3" s="733"/>
      <c r="I3" s="733"/>
      <c r="J3" s="283"/>
      <c r="K3" s="176"/>
    </row>
    <row r="4" spans="3:12" ht="18.75">
      <c r="C4" s="734" t="s">
        <v>333</v>
      </c>
      <c r="D4" s="736" t="s">
        <v>46</v>
      </c>
      <c r="E4" s="736"/>
      <c r="F4" s="737"/>
      <c r="G4" s="174"/>
      <c r="H4" s="174" t="s">
        <v>599</v>
      </c>
      <c r="I4" s="174"/>
      <c r="J4" s="161"/>
      <c r="K4" s="161"/>
    </row>
    <row r="5" spans="3:12" ht="18.75">
      <c r="C5" s="735"/>
      <c r="D5" s="175" t="s">
        <v>47</v>
      </c>
      <c r="E5" s="595" t="s">
        <v>48</v>
      </c>
      <c r="F5" s="598" t="s">
        <v>49</v>
      </c>
      <c r="G5" s="596" t="s">
        <v>50</v>
      </c>
      <c r="H5" s="174"/>
      <c r="I5" s="174" t="s">
        <v>51</v>
      </c>
      <c r="J5" s="174" t="s">
        <v>332</v>
      </c>
      <c r="K5" s="243" t="s">
        <v>508</v>
      </c>
    </row>
    <row r="6" spans="3:12">
      <c r="C6" s="169">
        <v>1</v>
      </c>
      <c r="D6" s="172" t="s">
        <v>299</v>
      </c>
      <c r="E6" s="172" t="s">
        <v>323</v>
      </c>
      <c r="F6" s="597" t="s">
        <v>322</v>
      </c>
      <c r="G6" s="172" t="s">
        <v>321</v>
      </c>
      <c r="H6" s="172">
        <v>122</v>
      </c>
      <c r="I6" s="171" t="s">
        <v>330</v>
      </c>
      <c r="J6" s="565">
        <v>1146</v>
      </c>
      <c r="K6" s="170"/>
    </row>
    <row r="7" spans="3:12">
      <c r="C7" s="169">
        <v>2</v>
      </c>
      <c r="D7" s="172" t="s">
        <v>310</v>
      </c>
      <c r="E7" s="172" t="s">
        <v>306</v>
      </c>
      <c r="F7" s="172" t="s">
        <v>309</v>
      </c>
      <c r="G7" s="172" t="s">
        <v>308</v>
      </c>
      <c r="H7" s="172">
        <v>122</v>
      </c>
      <c r="I7" s="173">
        <v>15544028286487</v>
      </c>
      <c r="J7" s="565">
        <v>1146</v>
      </c>
      <c r="K7" s="170"/>
    </row>
    <row r="8" spans="3:12">
      <c r="C8" s="169">
        <v>3</v>
      </c>
      <c r="D8" s="172" t="s">
        <v>573</v>
      </c>
      <c r="E8" s="172" t="s">
        <v>574</v>
      </c>
      <c r="F8" s="172" t="s">
        <v>575</v>
      </c>
      <c r="G8" s="172" t="s">
        <v>307</v>
      </c>
      <c r="H8" s="172">
        <v>122</v>
      </c>
      <c r="I8" s="173">
        <v>15600228287644</v>
      </c>
      <c r="J8" s="565">
        <v>1146</v>
      </c>
      <c r="K8" s="170"/>
    </row>
    <row r="9" spans="3:12">
      <c r="C9" s="169">
        <v>4</v>
      </c>
      <c r="D9" s="172" t="s">
        <v>320</v>
      </c>
      <c r="E9" s="172" t="s">
        <v>427</v>
      </c>
      <c r="F9" s="172" t="s">
        <v>426</v>
      </c>
      <c r="G9" s="172" t="s">
        <v>600</v>
      </c>
      <c r="H9" s="172">
        <v>122</v>
      </c>
      <c r="I9" s="173"/>
      <c r="J9" s="565">
        <v>1146</v>
      </c>
      <c r="K9" s="170"/>
    </row>
    <row r="10" spans="3:12">
      <c r="C10" s="169">
        <v>5</v>
      </c>
      <c r="D10" s="172" t="s">
        <v>295</v>
      </c>
      <c r="E10" s="172" t="s">
        <v>294</v>
      </c>
      <c r="F10" s="168" t="s">
        <v>293</v>
      </c>
      <c r="G10" s="172" t="s">
        <v>292</v>
      </c>
      <c r="H10" s="172">
        <v>122</v>
      </c>
      <c r="I10" s="171" t="s">
        <v>319</v>
      </c>
      <c r="J10" s="565">
        <v>1146</v>
      </c>
      <c r="K10" s="261"/>
      <c r="L10" s="284"/>
    </row>
    <row r="11" spans="3:12">
      <c r="C11" s="169">
        <v>6</v>
      </c>
      <c r="D11" s="168" t="s">
        <v>291</v>
      </c>
      <c r="E11" s="168" t="s">
        <v>290</v>
      </c>
      <c r="F11" s="168" t="s">
        <v>289</v>
      </c>
      <c r="G11" s="168" t="s">
        <v>288</v>
      </c>
      <c r="H11" s="172">
        <v>122</v>
      </c>
      <c r="I11" s="171" t="s">
        <v>314</v>
      </c>
      <c r="J11" s="565">
        <v>1146</v>
      </c>
      <c r="K11" s="170"/>
    </row>
    <row r="12" spans="3:12">
      <c r="C12" s="169">
        <v>7</v>
      </c>
      <c r="D12" s="172" t="s">
        <v>502</v>
      </c>
      <c r="E12" s="172" t="s">
        <v>503</v>
      </c>
      <c r="F12" s="172" t="s">
        <v>504</v>
      </c>
      <c r="G12" s="172" t="s">
        <v>505</v>
      </c>
      <c r="H12" s="172">
        <v>122</v>
      </c>
      <c r="I12" s="171" t="s">
        <v>311</v>
      </c>
      <c r="J12" s="565">
        <v>1712</v>
      </c>
      <c r="K12" s="170"/>
    </row>
    <row r="13" spans="3:12">
      <c r="C13" s="169">
        <v>8</v>
      </c>
      <c r="D13" s="172" t="s">
        <v>302</v>
      </c>
      <c r="E13" s="172" t="s">
        <v>744</v>
      </c>
      <c r="F13" s="172" t="s">
        <v>745</v>
      </c>
      <c r="G13" s="172" t="s">
        <v>530</v>
      </c>
      <c r="H13" s="172">
        <v>122</v>
      </c>
      <c r="I13" s="173"/>
      <c r="J13" s="565">
        <v>1146</v>
      </c>
      <c r="K13" s="170"/>
    </row>
    <row r="14" spans="3:12">
      <c r="C14" s="169">
        <v>9</v>
      </c>
      <c r="D14" s="172" t="s">
        <v>534</v>
      </c>
      <c r="E14" s="172" t="s">
        <v>535</v>
      </c>
      <c r="F14" s="172" t="s">
        <v>309</v>
      </c>
      <c r="G14" s="172" t="s">
        <v>536</v>
      </c>
      <c r="H14" s="172">
        <v>122</v>
      </c>
      <c r="I14" s="173"/>
      <c r="J14" s="565">
        <v>1146</v>
      </c>
      <c r="K14" s="170"/>
    </row>
    <row r="15" spans="3:12">
      <c r="C15" s="403">
        <v>10</v>
      </c>
      <c r="D15" s="194" t="s">
        <v>616</v>
      </c>
      <c r="E15" s="194" t="s">
        <v>617</v>
      </c>
      <c r="F15" s="194" t="s">
        <v>618</v>
      </c>
      <c r="G15" s="194" t="s">
        <v>641</v>
      </c>
      <c r="H15" s="194">
        <v>122</v>
      </c>
      <c r="I15" s="404"/>
      <c r="J15" s="566">
        <v>1712</v>
      </c>
      <c r="K15" s="405"/>
      <c r="L15" t="s">
        <v>603</v>
      </c>
    </row>
    <row r="16" spans="3:12">
      <c r="C16" s="353">
        <v>11</v>
      </c>
      <c r="D16" s="172" t="s">
        <v>638</v>
      </c>
      <c r="E16" s="172" t="s">
        <v>639</v>
      </c>
      <c r="F16" s="172" t="s">
        <v>651</v>
      </c>
      <c r="G16" s="172" t="s">
        <v>640</v>
      </c>
      <c r="H16" s="172">
        <v>122</v>
      </c>
      <c r="I16" s="173"/>
      <c r="J16" s="565">
        <v>1560</v>
      </c>
      <c r="K16" s="170"/>
      <c r="L16" t="s">
        <v>644</v>
      </c>
    </row>
    <row r="17" spans="3:12" ht="25.5" customHeight="1">
      <c r="C17" s="353">
        <v>12</v>
      </c>
      <c r="D17" s="168" t="s">
        <v>506</v>
      </c>
      <c r="E17" s="168" t="s">
        <v>502</v>
      </c>
      <c r="F17" s="168" t="s">
        <v>507</v>
      </c>
      <c r="G17" s="259" t="s">
        <v>531</v>
      </c>
      <c r="H17" s="172">
        <v>122</v>
      </c>
      <c r="I17" s="173" t="s">
        <v>304</v>
      </c>
      <c r="J17" s="565">
        <v>1639</v>
      </c>
      <c r="K17" s="170"/>
    </row>
    <row r="18" spans="3:12">
      <c r="C18" s="599">
        <v>13</v>
      </c>
      <c r="D18" s="194" t="s">
        <v>529</v>
      </c>
      <c r="E18" s="194" t="s">
        <v>290</v>
      </c>
      <c r="F18" s="194" t="s">
        <v>704</v>
      </c>
      <c r="G18" s="600" t="s">
        <v>705</v>
      </c>
      <c r="H18" s="194">
        <v>122</v>
      </c>
      <c r="I18" s="404"/>
      <c r="J18" s="566">
        <v>1146</v>
      </c>
      <c r="K18" s="601"/>
      <c r="L18" s="568" t="s">
        <v>706</v>
      </c>
    </row>
    <row r="19" spans="3:12" ht="25.5" thickBot="1">
      <c r="C19" s="373">
        <v>14</v>
      </c>
      <c r="D19" s="367" t="s">
        <v>731</v>
      </c>
      <c r="E19" s="367" t="s">
        <v>732</v>
      </c>
      <c r="F19" s="367" t="s">
        <v>733</v>
      </c>
      <c r="G19" s="576" t="s">
        <v>734</v>
      </c>
      <c r="H19" s="367">
        <v>122</v>
      </c>
      <c r="I19" s="577"/>
      <c r="J19" s="578">
        <v>1700</v>
      </c>
      <c r="K19" s="579"/>
      <c r="L19" s="568" t="s">
        <v>735</v>
      </c>
    </row>
    <row r="20" spans="3:12" ht="15.75" thickTop="1">
      <c r="C20" s="361"/>
      <c r="D20" s="205"/>
      <c r="E20" s="205"/>
      <c r="F20" s="362"/>
      <c r="G20" s="205"/>
      <c r="H20" s="205"/>
      <c r="I20" s="363"/>
      <c r="J20" s="364">
        <f>SUM(J6:J19)</f>
        <v>18637</v>
      </c>
      <c r="K20" s="365"/>
    </row>
    <row r="21" spans="3:12">
      <c r="C21" s="353">
        <v>15</v>
      </c>
      <c r="D21" s="172" t="s">
        <v>302</v>
      </c>
      <c r="E21" s="172" t="s">
        <v>313</v>
      </c>
      <c r="F21" s="168" t="s">
        <v>514</v>
      </c>
      <c r="G21" s="172" t="s">
        <v>331</v>
      </c>
      <c r="H21" s="172">
        <v>443</v>
      </c>
      <c r="I21" s="173" t="s">
        <v>303</v>
      </c>
      <c r="J21" s="565">
        <v>1146</v>
      </c>
      <c r="K21" s="170"/>
    </row>
    <row r="22" spans="3:12">
      <c r="C22" s="169">
        <v>16</v>
      </c>
      <c r="D22" s="168" t="s">
        <v>329</v>
      </c>
      <c r="E22" s="168" t="s">
        <v>301</v>
      </c>
      <c r="F22" s="168" t="s">
        <v>328</v>
      </c>
      <c r="G22" s="172" t="s">
        <v>327</v>
      </c>
      <c r="H22" s="172">
        <v>443</v>
      </c>
      <c r="I22" s="173"/>
      <c r="J22" s="565">
        <v>1146</v>
      </c>
      <c r="K22" s="166"/>
    </row>
    <row r="23" spans="3:12">
      <c r="C23" s="169">
        <v>17</v>
      </c>
      <c r="D23" s="172" t="s">
        <v>318</v>
      </c>
      <c r="E23" s="172" t="s">
        <v>317</v>
      </c>
      <c r="F23" s="168" t="s">
        <v>316</v>
      </c>
      <c r="G23" s="172" t="s">
        <v>315</v>
      </c>
      <c r="H23" s="172">
        <v>443</v>
      </c>
      <c r="I23" s="171"/>
      <c r="J23" s="565">
        <v>1146</v>
      </c>
      <c r="K23" s="170"/>
    </row>
    <row r="24" spans="3:12">
      <c r="C24" s="169">
        <v>18</v>
      </c>
      <c r="D24" s="172" t="s">
        <v>774</v>
      </c>
      <c r="E24" s="172" t="s">
        <v>775</v>
      </c>
      <c r="F24" s="168" t="s">
        <v>776</v>
      </c>
      <c r="G24" s="172" t="s">
        <v>312</v>
      </c>
      <c r="H24" s="172">
        <v>443</v>
      </c>
      <c r="I24" s="167"/>
      <c r="J24" s="565">
        <v>1146</v>
      </c>
      <c r="K24" s="166"/>
      <c r="L24" s="270">
        <v>44348</v>
      </c>
    </row>
    <row r="25" spans="3:12">
      <c r="C25" s="353">
        <v>19</v>
      </c>
      <c r="D25" s="172" t="s">
        <v>801</v>
      </c>
      <c r="E25" s="172" t="s">
        <v>802</v>
      </c>
      <c r="F25" s="168" t="s">
        <v>803</v>
      </c>
      <c r="G25" s="172" t="s">
        <v>305</v>
      </c>
      <c r="H25" s="172">
        <v>443</v>
      </c>
      <c r="I25" s="171"/>
      <c r="J25" s="565">
        <v>1146</v>
      </c>
      <c r="K25" s="166"/>
    </row>
    <row r="26" spans="3:12">
      <c r="C26" s="353">
        <v>20</v>
      </c>
      <c r="D26" s="354" t="s">
        <v>302</v>
      </c>
      <c r="E26" s="354" t="s">
        <v>777</v>
      </c>
      <c r="F26" s="354" t="s">
        <v>778</v>
      </c>
      <c r="G26" s="172" t="s">
        <v>300</v>
      </c>
      <c r="H26" s="172">
        <v>443</v>
      </c>
      <c r="I26" s="171"/>
      <c r="J26" s="565">
        <v>1146</v>
      </c>
      <c r="K26" s="166"/>
    </row>
    <row r="27" spans="3:12" ht="15.75" thickBot="1">
      <c r="C27" s="373">
        <v>21</v>
      </c>
      <c r="D27" s="367" t="s">
        <v>299</v>
      </c>
      <c r="E27" s="367" t="s">
        <v>298</v>
      </c>
      <c r="F27" s="366" t="s">
        <v>297</v>
      </c>
      <c r="G27" s="367" t="s">
        <v>296</v>
      </c>
      <c r="H27" s="367">
        <v>443</v>
      </c>
      <c r="I27" s="374"/>
      <c r="J27" s="578">
        <v>1146</v>
      </c>
      <c r="K27" s="375"/>
      <c r="L27" s="284"/>
    </row>
    <row r="28" spans="3:12" ht="15.75" thickTop="1">
      <c r="C28" s="361"/>
      <c r="D28" s="205"/>
      <c r="E28" s="205"/>
      <c r="F28" s="362"/>
      <c r="G28" s="205"/>
      <c r="H28" s="205"/>
      <c r="I28" s="372"/>
      <c r="J28" s="618"/>
      <c r="K28" s="370"/>
      <c r="L28" s="284"/>
    </row>
    <row r="29" spans="3:12">
      <c r="C29" s="361"/>
      <c r="D29" s="205"/>
      <c r="E29" s="205"/>
      <c r="F29" s="362"/>
      <c r="G29" s="205"/>
      <c r="H29" s="205"/>
      <c r="I29" s="372"/>
      <c r="J29" s="376">
        <f>SUM(J21:J27)</f>
        <v>8022</v>
      </c>
      <c r="K29" s="370"/>
      <c r="L29" s="284"/>
    </row>
    <row r="30" spans="3:12">
      <c r="C30" s="361"/>
      <c r="D30" s="205"/>
      <c r="E30" s="205"/>
      <c r="F30" s="362"/>
      <c r="G30" s="205"/>
      <c r="H30" s="205"/>
      <c r="I30" s="372"/>
      <c r="J30" s="371"/>
      <c r="K30" s="370"/>
      <c r="L30" s="284"/>
    </row>
    <row r="31" spans="3:12">
      <c r="C31" s="382">
        <v>22</v>
      </c>
      <c r="D31" s="172" t="s">
        <v>291</v>
      </c>
      <c r="E31" s="172" t="s">
        <v>326</v>
      </c>
      <c r="F31" s="168" t="s">
        <v>325</v>
      </c>
      <c r="G31" s="172" t="s">
        <v>324</v>
      </c>
      <c r="H31" s="168">
        <v>445</v>
      </c>
      <c r="I31" s="167" t="s">
        <v>532</v>
      </c>
      <c r="J31" s="261">
        <v>1136</v>
      </c>
      <c r="K31" s="166"/>
    </row>
    <row r="32" spans="3:12">
      <c r="C32" s="368"/>
      <c r="D32" s="205"/>
      <c r="E32" s="205"/>
      <c r="F32" s="362"/>
      <c r="G32" s="205"/>
      <c r="H32" s="362"/>
      <c r="I32" s="369"/>
      <c r="J32" s="376">
        <f>SUM(J31)</f>
        <v>1136</v>
      </c>
      <c r="K32" s="370"/>
    </row>
    <row r="33" spans="3:11" ht="11.25" customHeight="1">
      <c r="C33" s="368"/>
      <c r="D33" s="205"/>
      <c r="E33" s="205"/>
      <c r="F33" s="362"/>
      <c r="G33" s="205"/>
      <c r="H33" s="362"/>
      <c r="I33" s="369"/>
      <c r="J33" s="377"/>
      <c r="K33" s="370"/>
    </row>
    <row r="34" spans="3:11" ht="15.75" thickBot="1">
      <c r="C34" s="236"/>
      <c r="D34" s="236"/>
      <c r="E34" s="236"/>
      <c r="F34" s="236"/>
      <c r="G34" s="236"/>
      <c r="H34" s="378"/>
      <c r="I34" s="378"/>
      <c r="J34" s="379">
        <f>J20+J29+J32</f>
        <v>27795</v>
      </c>
      <c r="K34" s="380"/>
    </row>
    <row r="35" spans="3:11" ht="15.75" thickTop="1"/>
  </sheetData>
  <mergeCells count="4">
    <mergeCell ref="C2:J2"/>
    <mergeCell ref="C3:I3"/>
    <mergeCell ref="C4:C5"/>
    <mergeCell ref="D4:F4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P28"/>
  <sheetViews>
    <sheetView workbookViewId="0">
      <selection activeCell="O4" sqref="O4"/>
    </sheetView>
  </sheetViews>
  <sheetFormatPr baseColWidth="10" defaultRowHeight="15"/>
  <cols>
    <col min="4" max="4" width="15.42578125" customWidth="1"/>
    <col min="5" max="5" width="14.42578125" customWidth="1"/>
    <col min="6" max="6" width="23.28515625" customWidth="1"/>
    <col min="7" max="7" width="0.5703125" customWidth="1"/>
    <col min="8" max="8" width="12.28515625" bestFit="1" customWidth="1"/>
    <col min="10" max="10" width="12.28515625" bestFit="1" customWidth="1"/>
    <col min="12" max="12" width="16.85546875" customWidth="1"/>
    <col min="13" max="13" width="10" hidden="1" customWidth="1"/>
    <col min="14" max="14" width="12.7109375" hidden="1" customWidth="1"/>
    <col min="15" max="15" width="26" customWidth="1"/>
  </cols>
  <sheetData>
    <row r="1" spans="2:16" ht="18">
      <c r="B1" s="738" t="s">
        <v>812</v>
      </c>
      <c r="C1" s="739"/>
      <c r="D1" s="739"/>
      <c r="E1" s="739"/>
      <c r="F1" s="739"/>
      <c r="G1" s="739"/>
      <c r="H1" s="739"/>
      <c r="I1" s="739"/>
      <c r="J1" s="739"/>
      <c r="K1" s="739"/>
      <c r="L1" s="739"/>
      <c r="M1" s="739"/>
      <c r="N1" s="740"/>
    </row>
    <row r="2" spans="2:16" ht="15.75">
      <c r="B2" s="741" t="s">
        <v>382</v>
      </c>
      <c r="C2" s="741"/>
      <c r="D2" s="741"/>
      <c r="E2" s="179" t="s">
        <v>144</v>
      </c>
      <c r="F2" s="180"/>
      <c r="G2" s="180"/>
      <c r="H2" s="180"/>
      <c r="I2" s="180"/>
      <c r="J2" s="180"/>
      <c r="K2" s="181"/>
      <c r="L2" s="297"/>
      <c r="M2" s="180"/>
      <c r="N2" s="180"/>
    </row>
    <row r="3" spans="2:16" ht="15.75">
      <c r="B3" s="383" t="s">
        <v>145</v>
      </c>
      <c r="C3" s="182"/>
      <c r="D3" s="182"/>
      <c r="E3" s="182"/>
      <c r="F3" s="182"/>
      <c r="G3" s="183" t="s">
        <v>28</v>
      </c>
      <c r="H3" s="742" t="s">
        <v>54</v>
      </c>
      <c r="I3" s="743"/>
      <c r="J3" s="184"/>
      <c r="K3" s="185" t="s">
        <v>55</v>
      </c>
      <c r="L3" s="186"/>
      <c r="M3" s="289"/>
      <c r="N3" s="289"/>
    </row>
    <row r="4" spans="2:16" ht="15.75" customHeight="1">
      <c r="B4" s="384" t="s">
        <v>146</v>
      </c>
      <c r="C4" s="744" t="s">
        <v>46</v>
      </c>
      <c r="D4" s="745"/>
      <c r="E4" s="745"/>
      <c r="F4" s="187"/>
      <c r="G4" s="416"/>
      <c r="H4" s="393" t="s">
        <v>3</v>
      </c>
      <c r="I4" s="394" t="s">
        <v>147</v>
      </c>
      <c r="J4" s="395" t="s">
        <v>61</v>
      </c>
      <c r="K4" s="396" t="s">
        <v>383</v>
      </c>
      <c r="L4" s="397" t="s">
        <v>148</v>
      </c>
      <c r="M4" s="292" t="s">
        <v>570</v>
      </c>
      <c r="N4" s="290"/>
    </row>
    <row r="5" spans="2:16" ht="15.75">
      <c r="B5" s="385" t="s">
        <v>149</v>
      </c>
      <c r="C5" s="386" t="s">
        <v>47</v>
      </c>
      <c r="D5" s="387" t="s">
        <v>48</v>
      </c>
      <c r="E5" s="387" t="s">
        <v>49</v>
      </c>
      <c r="F5" s="387" t="s">
        <v>50</v>
      </c>
      <c r="G5" s="388" t="s">
        <v>51</v>
      </c>
      <c r="H5" s="389" t="s">
        <v>384</v>
      </c>
      <c r="I5" s="390" t="s">
        <v>153</v>
      </c>
      <c r="J5" s="391" t="s">
        <v>154</v>
      </c>
      <c r="K5" s="392" t="s">
        <v>384</v>
      </c>
      <c r="L5" s="387" t="s">
        <v>156</v>
      </c>
      <c r="M5" s="291" t="s">
        <v>569</v>
      </c>
      <c r="N5" s="291" t="s">
        <v>501</v>
      </c>
    </row>
    <row r="6" spans="2:16">
      <c r="B6" s="188" t="s">
        <v>385</v>
      </c>
      <c r="C6" s="188"/>
      <c r="D6" s="188"/>
      <c r="E6" s="188"/>
      <c r="F6" s="189"/>
      <c r="G6" s="189"/>
      <c r="H6" s="190"/>
      <c r="I6" s="190"/>
      <c r="J6" s="189"/>
      <c r="K6" s="190"/>
      <c r="L6" s="189"/>
      <c r="M6" s="189"/>
      <c r="N6" s="189"/>
    </row>
    <row r="7" spans="2:16" ht="36.75">
      <c r="B7" s="172">
        <v>1</v>
      </c>
      <c r="C7" s="168" t="s">
        <v>522</v>
      </c>
      <c r="D7" s="168" t="s">
        <v>578</v>
      </c>
      <c r="E7" s="168" t="s">
        <v>579</v>
      </c>
      <c r="F7" s="259" t="s">
        <v>650</v>
      </c>
      <c r="G7" s="172"/>
      <c r="H7" s="261">
        <v>5480.6</v>
      </c>
      <c r="I7" s="170">
        <f>H7</f>
        <v>5480.6</v>
      </c>
      <c r="J7" s="191"/>
      <c r="K7" s="170">
        <v>55.76</v>
      </c>
      <c r="L7" s="192">
        <f>I7+J7-K7</f>
        <v>5424.84</v>
      </c>
      <c r="M7" s="296"/>
      <c r="N7" s="192">
        <f t="shared" ref="N7:N9" si="0">SUM(L7-M7)</f>
        <v>5424.84</v>
      </c>
      <c r="O7" s="193"/>
    </row>
    <row r="8" spans="2:16" ht="36.75">
      <c r="B8" s="172">
        <v>2</v>
      </c>
      <c r="C8" s="172" t="s">
        <v>193</v>
      </c>
      <c r="D8" s="172" t="s">
        <v>386</v>
      </c>
      <c r="E8" s="172" t="s">
        <v>387</v>
      </c>
      <c r="F8" s="301" t="s">
        <v>715</v>
      </c>
      <c r="G8" s="172"/>
      <c r="H8" s="261">
        <v>5480.6</v>
      </c>
      <c r="I8" s="261">
        <f>H8</f>
        <v>5480.6</v>
      </c>
      <c r="J8" s="191"/>
      <c r="K8" s="261">
        <v>55.76</v>
      </c>
      <c r="L8" s="192">
        <f>I8+J8-K8</f>
        <v>5424.84</v>
      </c>
      <c r="M8" s="288"/>
      <c r="N8" s="287">
        <f t="shared" si="0"/>
        <v>5424.84</v>
      </c>
      <c r="O8" s="193"/>
    </row>
    <row r="9" spans="2:16">
      <c r="B9" s="194">
        <v>3</v>
      </c>
      <c r="C9" s="194" t="s">
        <v>83</v>
      </c>
      <c r="D9" s="172" t="s">
        <v>84</v>
      </c>
      <c r="E9" s="172" t="s">
        <v>388</v>
      </c>
      <c r="F9" s="172" t="s">
        <v>389</v>
      </c>
      <c r="G9" s="172" t="s">
        <v>390</v>
      </c>
      <c r="H9" s="261">
        <v>2435.5500000000002</v>
      </c>
      <c r="I9" s="261">
        <f>H9</f>
        <v>2435.5500000000002</v>
      </c>
      <c r="J9" s="191">
        <v>276.87</v>
      </c>
      <c r="K9" s="261"/>
      <c r="L9" s="192">
        <f t="shared" ref="L9" si="1">I9+J9</f>
        <v>2712.42</v>
      </c>
      <c r="M9" s="288"/>
      <c r="N9" s="287">
        <f t="shared" si="0"/>
        <v>2712.42</v>
      </c>
      <c r="O9" s="193"/>
    </row>
    <row r="10" spans="2:16">
      <c r="B10" s="194">
        <v>4</v>
      </c>
      <c r="C10" s="194" t="s">
        <v>790</v>
      </c>
      <c r="D10" s="172" t="s">
        <v>791</v>
      </c>
      <c r="E10" s="172" t="s">
        <v>792</v>
      </c>
      <c r="F10" s="301" t="s">
        <v>793</v>
      </c>
      <c r="G10" s="172"/>
      <c r="H10" s="261">
        <v>3095.98</v>
      </c>
      <c r="I10" s="261">
        <v>3095.98</v>
      </c>
      <c r="J10" s="191">
        <v>237.35</v>
      </c>
      <c r="K10" s="261"/>
      <c r="L10" s="400">
        <f>H10+J10</f>
        <v>3333.33</v>
      </c>
      <c r="M10" s="624"/>
      <c r="N10" s="293"/>
      <c r="O10" s="193"/>
      <c r="P10" s="229"/>
    </row>
    <row r="11" spans="2:16">
      <c r="B11" s="194">
        <v>5</v>
      </c>
      <c r="C11" s="194" t="s">
        <v>794</v>
      </c>
      <c r="D11" s="172" t="s">
        <v>795</v>
      </c>
      <c r="E11" s="172" t="s">
        <v>796</v>
      </c>
      <c r="F11" s="301" t="s">
        <v>797</v>
      </c>
      <c r="G11" s="172"/>
      <c r="H11" s="261">
        <v>3095.98</v>
      </c>
      <c r="I11" s="261">
        <v>3095.98</v>
      </c>
      <c r="J11" s="191">
        <v>237.35</v>
      </c>
      <c r="K11" s="261"/>
      <c r="L11" s="400">
        <f t="shared" ref="L11:L12" si="2">H11+J11</f>
        <v>3333.33</v>
      </c>
      <c r="M11" s="624"/>
      <c r="N11" s="293"/>
      <c r="O11" s="193"/>
      <c r="P11" s="229"/>
    </row>
    <row r="12" spans="2:16" ht="25.5" thickBot="1">
      <c r="B12" s="194">
        <v>6</v>
      </c>
      <c r="C12" s="172" t="s">
        <v>93</v>
      </c>
      <c r="D12" s="172" t="s">
        <v>798</v>
      </c>
      <c r="E12" s="172" t="s">
        <v>799</v>
      </c>
      <c r="F12" s="301" t="s">
        <v>800</v>
      </c>
      <c r="G12" s="172"/>
      <c r="H12" s="261">
        <v>3095.98</v>
      </c>
      <c r="I12" s="261">
        <v>3095.98</v>
      </c>
      <c r="J12" s="191">
        <v>237.35</v>
      </c>
      <c r="K12" s="261"/>
      <c r="L12" s="400">
        <f t="shared" si="2"/>
        <v>3333.33</v>
      </c>
      <c r="M12" s="624"/>
      <c r="N12" s="293"/>
      <c r="O12" s="193"/>
      <c r="P12" s="229"/>
    </row>
    <row r="13" spans="2:16" ht="15.75" thickBot="1">
      <c r="B13" s="195" t="s">
        <v>391</v>
      </c>
      <c r="C13" s="196"/>
      <c r="D13" s="197"/>
      <c r="E13" s="197"/>
      <c r="F13" s="197"/>
      <c r="G13" s="197"/>
      <c r="H13" s="198">
        <f t="shared" ref="H13:N13" si="3">SUM(H7:H12)</f>
        <v>22684.69</v>
      </c>
      <c r="I13" s="198">
        <f t="shared" si="3"/>
        <v>22684.69</v>
      </c>
      <c r="J13" s="257">
        <f t="shared" si="3"/>
        <v>988.92000000000007</v>
      </c>
      <c r="K13" s="286">
        <f t="shared" si="3"/>
        <v>111.52</v>
      </c>
      <c r="L13" s="294">
        <f t="shared" si="3"/>
        <v>23562.090000000004</v>
      </c>
      <c r="M13" s="294">
        <f t="shared" si="3"/>
        <v>0</v>
      </c>
      <c r="N13" s="295">
        <f t="shared" si="3"/>
        <v>13562.1</v>
      </c>
    </row>
    <row r="14" spans="2:16">
      <c r="B14" s="199"/>
      <c r="C14" s="200"/>
      <c r="D14" s="197"/>
      <c r="E14" s="197"/>
      <c r="F14" s="197"/>
      <c r="G14" s="197"/>
      <c r="H14" s="201"/>
      <c r="I14" s="201"/>
      <c r="J14" s="197"/>
      <c r="K14" s="202"/>
      <c r="L14" s="201"/>
      <c r="M14" s="201"/>
      <c r="N14" s="201"/>
    </row>
    <row r="15" spans="2:16">
      <c r="B15" s="199"/>
      <c r="C15" s="200"/>
      <c r="D15" s="197"/>
      <c r="E15" s="197"/>
      <c r="F15" s="197"/>
      <c r="G15" s="197"/>
      <c r="H15" s="201"/>
      <c r="I15" s="201"/>
      <c r="J15" s="197"/>
      <c r="K15" s="202"/>
      <c r="L15" s="201"/>
      <c r="M15" s="201"/>
      <c r="N15" s="201"/>
    </row>
    <row r="16" spans="2:16">
      <c r="C16" s="203"/>
      <c r="D16" s="203"/>
      <c r="F16" s="746"/>
      <c r="G16" s="746"/>
      <c r="I16" s="746"/>
      <c r="J16" s="746"/>
      <c r="K16" s="746"/>
    </row>
    <row r="17" spans="3:14">
      <c r="C17" s="204" t="s">
        <v>783</v>
      </c>
      <c r="D17" s="204"/>
      <c r="E17" s="204"/>
      <c r="F17" s="608" t="s">
        <v>739</v>
      </c>
      <c r="G17" s="204"/>
      <c r="H17" s="204"/>
      <c r="I17" s="609" t="s">
        <v>740</v>
      </c>
      <c r="J17" s="607"/>
      <c r="K17" s="206"/>
    </row>
    <row r="18" spans="3:14">
      <c r="C18" s="204" t="s">
        <v>785</v>
      </c>
      <c r="D18" s="204"/>
      <c r="E18" s="204"/>
      <c r="F18" s="204" t="s">
        <v>393</v>
      </c>
      <c r="G18" s="204"/>
      <c r="H18" s="204"/>
      <c r="I18" s="204" t="s">
        <v>394</v>
      </c>
      <c r="J18" s="205"/>
      <c r="K18" s="205"/>
      <c r="L18" s="215"/>
      <c r="M18" s="215"/>
      <c r="N18" s="215"/>
    </row>
    <row r="19" spans="3:14">
      <c r="C19" s="204"/>
      <c r="D19" s="204"/>
      <c r="E19" s="204"/>
      <c r="F19" s="204"/>
      <c r="G19" s="204"/>
      <c r="H19" s="204"/>
      <c r="I19" s="204"/>
      <c r="J19" s="205"/>
      <c r="K19" s="205"/>
      <c r="L19" s="215"/>
      <c r="M19" s="215"/>
      <c r="N19" s="215"/>
    </row>
    <row r="20" spans="3:14">
      <c r="L20" s="215">
        <f>I13+J13-K13</f>
        <v>23562.09</v>
      </c>
      <c r="M20" s="215"/>
      <c r="N20" s="215">
        <f>L13-M13</f>
        <v>23562.090000000004</v>
      </c>
    </row>
    <row r="21" spans="3:14">
      <c r="L21" s="215">
        <f>L13-L20</f>
        <v>0</v>
      </c>
      <c r="M21" s="215"/>
      <c r="N21" s="215"/>
    </row>
    <row r="28" spans="3:14">
      <c r="C28" s="581" t="s">
        <v>724</v>
      </c>
    </row>
  </sheetData>
  <mergeCells count="6">
    <mergeCell ref="B1:N1"/>
    <mergeCell ref="B2:D2"/>
    <mergeCell ref="H3:I3"/>
    <mergeCell ref="C4:E4"/>
    <mergeCell ref="F16:G16"/>
    <mergeCell ref="I16:K16"/>
  </mergeCells>
  <pageMargins left="0.70866141732283472" right="0.70866141732283472" top="0.74803149606299213" bottom="0.74803149606299213" header="0.31496062992125984" footer="0.31496062992125984"/>
  <pageSetup paperSize="5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73"/>
  <sheetViews>
    <sheetView workbookViewId="0">
      <selection activeCell="C8" sqref="C8"/>
    </sheetView>
  </sheetViews>
  <sheetFormatPr baseColWidth="10" defaultRowHeight="15"/>
  <cols>
    <col min="1" max="2" width="25.85546875" customWidth="1"/>
    <col min="3" max="3" width="23.140625" customWidth="1"/>
    <col min="4" max="4" width="3.7109375" customWidth="1"/>
    <col min="5" max="5" width="14.7109375" customWidth="1"/>
    <col min="6" max="6" width="13.140625" customWidth="1"/>
    <col min="7" max="7" width="13" bestFit="1" customWidth="1"/>
    <col min="8" max="8" width="19" customWidth="1"/>
    <col min="12" max="12" width="14" style="229" customWidth="1"/>
    <col min="15" max="15" width="11.42578125" customWidth="1"/>
  </cols>
  <sheetData>
    <row r="1" spans="1:12" ht="12.75" customHeight="1"/>
    <row r="2" spans="1:12" ht="12.75" customHeight="1">
      <c r="C2" s="721" t="s">
        <v>433</v>
      </c>
      <c r="D2" s="721"/>
      <c r="E2" s="721"/>
      <c r="G2" s="208" t="s">
        <v>434</v>
      </c>
    </row>
    <row r="3" spans="1:12" ht="15" customHeight="1">
      <c r="A3" s="208" t="s">
        <v>666</v>
      </c>
      <c r="B3" s="208"/>
      <c r="C3" s="208"/>
      <c r="D3" s="208"/>
      <c r="E3" s="208"/>
    </row>
    <row r="4" spans="1:12" ht="12.75" customHeight="1">
      <c r="A4" s="208">
        <v>2020</v>
      </c>
      <c r="B4" s="208"/>
      <c r="C4" s="721" t="s">
        <v>432</v>
      </c>
      <c r="D4" s="721"/>
      <c r="E4" s="721"/>
      <c r="G4" s="282">
        <v>0.52222222222222225</v>
      </c>
    </row>
    <row r="5" spans="1:12" ht="12.75" customHeight="1">
      <c r="A5" s="208"/>
      <c r="B5" s="208"/>
      <c r="C5" s="208"/>
      <c r="D5" s="208"/>
      <c r="E5" s="208"/>
    </row>
    <row r="6" spans="1:12" ht="12.75" customHeight="1"/>
    <row r="7" spans="1:12" ht="15.75" thickBot="1">
      <c r="A7" s="228" t="s">
        <v>431</v>
      </c>
      <c r="B7" s="228" t="s">
        <v>666</v>
      </c>
      <c r="C7" s="228" t="s">
        <v>667</v>
      </c>
      <c r="D7" s="208"/>
      <c r="E7" s="227" t="s">
        <v>428</v>
      </c>
      <c r="F7" s="227" t="s">
        <v>429</v>
      </c>
      <c r="G7" s="227" t="s">
        <v>430</v>
      </c>
      <c r="H7" s="240" t="s">
        <v>416</v>
      </c>
      <c r="J7" s="240" t="s">
        <v>511</v>
      </c>
    </row>
    <row r="8" spans="1:12">
      <c r="A8" s="219" t="s">
        <v>411</v>
      </c>
      <c r="B8" s="411">
        <f>C8*2</f>
        <v>247400</v>
      </c>
      <c r="C8" s="244">
        <f>REGIDORES!G18</f>
        <v>123700</v>
      </c>
      <c r="D8" s="213"/>
      <c r="E8" s="222">
        <f t="shared" ref="E8:E13" si="0">C8</f>
        <v>123700</v>
      </c>
      <c r="F8" s="223"/>
      <c r="G8" s="223"/>
    </row>
    <row r="9" spans="1:12">
      <c r="A9" s="219" t="s">
        <v>412</v>
      </c>
      <c r="B9" s="411">
        <f t="shared" ref="B9:B13" si="1">C9*2</f>
        <v>570579.46</v>
      </c>
      <c r="C9" s="244">
        <f>BASE!H186</f>
        <v>285289.73</v>
      </c>
      <c r="D9" s="213"/>
      <c r="E9" s="215">
        <f t="shared" si="0"/>
        <v>285289.73</v>
      </c>
    </row>
    <row r="10" spans="1:12">
      <c r="A10" s="219" t="s">
        <v>413</v>
      </c>
      <c r="B10" s="411">
        <f t="shared" si="1"/>
        <v>0</v>
      </c>
      <c r="C10" s="244"/>
      <c r="D10" s="213"/>
      <c r="E10" s="215">
        <f t="shared" si="0"/>
        <v>0</v>
      </c>
    </row>
    <row r="11" spans="1:12">
      <c r="A11" s="219" t="s">
        <v>414</v>
      </c>
      <c r="B11" s="411">
        <f t="shared" si="1"/>
        <v>0</v>
      </c>
      <c r="C11" s="244"/>
      <c r="D11" s="213"/>
      <c r="E11" s="215">
        <f t="shared" si="0"/>
        <v>0</v>
      </c>
    </row>
    <row r="12" spans="1:12">
      <c r="A12" s="219" t="s">
        <v>415</v>
      </c>
      <c r="B12" s="411">
        <f t="shared" si="1"/>
        <v>159588.91999999998</v>
      </c>
      <c r="C12" s="244">
        <f>'NOMINA TRAB.EVENTUALES'!M33</f>
        <v>79794.459999999992</v>
      </c>
      <c r="D12" s="213"/>
      <c r="E12" s="215">
        <f t="shared" si="0"/>
        <v>79794.459999999992</v>
      </c>
    </row>
    <row r="13" spans="1:12">
      <c r="A13" s="219" t="s">
        <v>416</v>
      </c>
      <c r="B13" s="411">
        <f t="shared" si="1"/>
        <v>394028.6</v>
      </c>
      <c r="C13" s="244">
        <f>'NOMINA ORD. DE PAGO QUINCENAL'!I72</f>
        <v>197014.3</v>
      </c>
      <c r="D13" s="220"/>
      <c r="E13" s="216">
        <f t="shared" si="0"/>
        <v>197014.3</v>
      </c>
      <c r="J13" s="229"/>
    </row>
    <row r="14" spans="1:12">
      <c r="A14" s="219" t="s">
        <v>417</v>
      </c>
      <c r="B14" s="411">
        <f>C14</f>
        <v>27795</v>
      </c>
      <c r="C14" s="244">
        <f>'PAGO TRAB.MENSUALES'!J34</f>
        <v>27795</v>
      </c>
      <c r="D14" s="213"/>
      <c r="F14" s="215">
        <f>C14</f>
        <v>27795</v>
      </c>
    </row>
    <row r="15" spans="1:12">
      <c r="A15" s="219" t="s">
        <v>418</v>
      </c>
      <c r="B15" s="411">
        <f>C15</f>
        <v>20060.400000000001</v>
      </c>
      <c r="C15" s="162">
        <v>20060.400000000001</v>
      </c>
      <c r="D15" s="213"/>
      <c r="E15" s="229"/>
      <c r="F15" s="215"/>
      <c r="G15" s="215">
        <f>'PAGO SEMANAL'!C11</f>
        <v>5015.1000000000004</v>
      </c>
      <c r="H15" s="229"/>
    </row>
    <row r="16" spans="1:12">
      <c r="A16" s="219" t="s">
        <v>341</v>
      </c>
      <c r="B16" s="411">
        <f>C16*2</f>
        <v>47214</v>
      </c>
      <c r="C16" s="244">
        <f>'NOMINA PENSIONADOS'!K14</f>
        <v>23607</v>
      </c>
      <c r="D16" s="213"/>
      <c r="E16" s="215"/>
      <c r="L16" s="229">
        <v>20060.400000000001</v>
      </c>
    </row>
    <row r="17" spans="1:12" ht="15.75" thickBot="1">
      <c r="A17" s="219" t="s">
        <v>419</v>
      </c>
      <c r="B17" s="411" t="e">
        <f>C17</f>
        <v>#REF!</v>
      </c>
      <c r="C17" s="162" t="e">
        <f>#REF!</f>
        <v>#REF!</v>
      </c>
      <c r="D17" s="213"/>
      <c r="E17" s="224"/>
      <c r="F17" s="225" t="e">
        <f>C17</f>
        <v>#REF!</v>
      </c>
      <c r="G17" s="224"/>
      <c r="H17" s="304" t="e">
        <f>#REF!</f>
        <v>#REF!</v>
      </c>
      <c r="L17" s="229">
        <v>214092</v>
      </c>
    </row>
    <row r="18" spans="1:12" ht="15.75" thickTop="1">
      <c r="A18" s="219"/>
      <c r="B18" s="412" t="e">
        <f>SUM(B8:B17)</f>
        <v>#REF!</v>
      </c>
      <c r="C18" s="217" t="e">
        <f>SUM(C8:C17)</f>
        <v>#REF!</v>
      </c>
      <c r="D18" s="221"/>
      <c r="E18" s="218">
        <f>SUM(E8:E17)</f>
        <v>685798.49</v>
      </c>
      <c r="F18" s="218" t="e">
        <f>SUM(F8:F17)</f>
        <v>#REF!</v>
      </c>
      <c r="G18" s="218">
        <f>SUM(G8:G17)</f>
        <v>5015.1000000000004</v>
      </c>
      <c r="H18" s="305" t="e">
        <f>SUM(H8:H17)</f>
        <v>#REF!</v>
      </c>
      <c r="I18" s="215"/>
      <c r="L18" s="229">
        <v>595306</v>
      </c>
    </row>
    <row r="19" spans="1:12" ht="15.75" thickBot="1">
      <c r="C19" s="163"/>
      <c r="D19" s="163"/>
      <c r="L19" s="229">
        <v>160976.28</v>
      </c>
    </row>
    <row r="20" spans="1:12" ht="15.75" thickBot="1">
      <c r="F20" s="226" t="e">
        <f>E18+F18+G18</f>
        <v>#REF!</v>
      </c>
      <c r="L20" s="229">
        <v>52897.279999999999</v>
      </c>
    </row>
    <row r="21" spans="1:12">
      <c r="F21" s="215"/>
      <c r="L21" s="229">
        <v>364731.92</v>
      </c>
    </row>
    <row r="22" spans="1:12">
      <c r="C22" t="s">
        <v>509</v>
      </c>
      <c r="E22" s="215" t="e">
        <f>E8+E9+E12+E13+F14+G15+H15+E16+F17</f>
        <v>#REF!</v>
      </c>
      <c r="L22" s="229">
        <v>23990</v>
      </c>
    </row>
    <row r="23" spans="1:12">
      <c r="C23" s="203" t="s">
        <v>510</v>
      </c>
      <c r="D23" s="260"/>
      <c r="E23" s="260">
        <f>E10+E11</f>
        <v>0</v>
      </c>
      <c r="L23" s="229">
        <v>25762.080000000002</v>
      </c>
    </row>
    <row r="24" spans="1:12">
      <c r="D24" s="215"/>
      <c r="E24" s="303" t="e">
        <f>SUM(E22:E23)</f>
        <v>#REF!</v>
      </c>
      <c r="L24" s="229">
        <f>SUM(L16:L23)</f>
        <v>1457815.9600000002</v>
      </c>
    </row>
    <row r="25" spans="1:12">
      <c r="D25" s="215"/>
      <c r="E25" s="215"/>
    </row>
    <row r="26" spans="1:12">
      <c r="E26" s="215"/>
    </row>
    <row r="27" spans="1:12">
      <c r="E27" s="215"/>
    </row>
    <row r="28" spans="1:12">
      <c r="C28" s="203"/>
      <c r="D28" s="203"/>
      <c r="E28" s="260"/>
    </row>
    <row r="29" spans="1:12">
      <c r="E29" s="215"/>
    </row>
    <row r="31" spans="1:12">
      <c r="A31" s="209"/>
      <c r="E31" s="241"/>
      <c r="F31" s="215"/>
    </row>
    <row r="32" spans="1:12">
      <c r="A32" s="208"/>
      <c r="B32" s="208"/>
      <c r="C32" s="208"/>
      <c r="D32" s="208"/>
      <c r="E32" s="215"/>
    </row>
    <row r="66" spans="1:1">
      <c r="A66">
        <v>9</v>
      </c>
    </row>
    <row r="67" spans="1:1">
      <c r="A67">
        <v>57</v>
      </c>
    </row>
    <row r="68" spans="1:1">
      <c r="A68">
        <v>22</v>
      </c>
    </row>
    <row r="69" spans="1:1">
      <c r="A69">
        <v>16</v>
      </c>
    </row>
    <row r="70" spans="1:1">
      <c r="A70">
        <v>29</v>
      </c>
    </row>
    <row r="71" spans="1:1">
      <c r="A71">
        <v>43</v>
      </c>
    </row>
    <row r="72" spans="1:1">
      <c r="A72">
        <v>2</v>
      </c>
    </row>
    <row r="73" spans="1:1">
      <c r="A73">
        <f>SUM(A66:A72)</f>
        <v>178</v>
      </c>
    </row>
  </sheetData>
  <mergeCells count="2">
    <mergeCell ref="C2:E2"/>
    <mergeCell ref="C4:E4"/>
  </mergeCells>
  <pageMargins left="0.51181102362204722" right="0.5118110236220472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A200"/>
  <sheetViews>
    <sheetView topLeftCell="B139" workbookViewId="0">
      <selection activeCell="C150" sqref="C150"/>
    </sheetView>
  </sheetViews>
  <sheetFormatPr baseColWidth="10" defaultRowHeight="11.25"/>
  <cols>
    <col min="1" max="1" width="2.140625" style="14" customWidth="1"/>
    <col min="2" max="2" width="6.42578125" style="34" customWidth="1"/>
    <col min="3" max="3" width="32.5703125" style="14" customWidth="1"/>
    <col min="4" max="4" width="27.42578125" style="14" customWidth="1"/>
    <col min="5" max="5" width="12.140625" style="315" hidden="1" customWidth="1"/>
    <col min="6" max="6" width="13.5703125" style="14" customWidth="1"/>
    <col min="7" max="7" width="10.85546875" style="14" customWidth="1"/>
    <col min="8" max="8" width="15.5703125" style="14" customWidth="1"/>
    <col min="9" max="9" width="9.42578125" style="14" customWidth="1"/>
    <col min="10" max="10" width="11.7109375" style="14" customWidth="1"/>
    <col min="11" max="12" width="12.42578125" style="14" customWidth="1"/>
    <col min="13" max="13" width="16.5703125" style="14" customWidth="1"/>
    <col min="14" max="14" width="36.42578125" style="14" customWidth="1"/>
    <col min="15" max="15" width="15.42578125" style="14" customWidth="1"/>
    <col min="16" max="16384" width="11.42578125" style="14"/>
  </cols>
  <sheetData>
    <row r="1" spans="1:18" ht="15">
      <c r="B1" s="16"/>
      <c r="C1" s="658" t="s">
        <v>28</v>
      </c>
      <c r="D1" s="658"/>
      <c r="E1" s="658"/>
      <c r="F1" s="659"/>
      <c r="G1" s="659"/>
      <c r="H1" s="659"/>
      <c r="I1" s="659"/>
      <c r="J1" s="147"/>
    </row>
    <row r="2" spans="1:18" ht="19.5">
      <c r="B2" s="664" t="s">
        <v>200</v>
      </c>
      <c r="C2" s="664"/>
      <c r="D2" s="664"/>
      <c r="E2" s="664"/>
      <c r="F2" s="664"/>
      <c r="G2" s="664"/>
      <c r="H2" s="664"/>
      <c r="I2" s="664"/>
      <c r="J2" s="664"/>
      <c r="K2" s="664"/>
      <c r="L2" s="664"/>
      <c r="M2" s="664"/>
      <c r="N2" s="664"/>
      <c r="P2" s="255">
        <f t="shared" ref="P2:P62" si="0">M2-O2</f>
        <v>0</v>
      </c>
    </row>
    <row r="3" spans="1:18" ht="15">
      <c r="B3" s="665" t="s">
        <v>825</v>
      </c>
      <c r="C3" s="665"/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P3" s="255">
        <f t="shared" si="0"/>
        <v>0</v>
      </c>
    </row>
    <row r="4" spans="1:18" ht="12.75">
      <c r="B4" s="15"/>
      <c r="C4" s="17" t="s">
        <v>0</v>
      </c>
      <c r="D4" s="17"/>
      <c r="E4" s="306"/>
      <c r="F4" s="3"/>
      <c r="G4" s="3"/>
      <c r="H4" s="3"/>
      <c r="I4" s="3"/>
      <c r="J4" s="3"/>
      <c r="K4" s="3"/>
      <c r="L4" s="3"/>
      <c r="M4" s="3"/>
      <c r="N4" s="3"/>
      <c r="P4" s="255">
        <f t="shared" si="0"/>
        <v>0</v>
      </c>
    </row>
    <row r="5" spans="1:18" ht="32.25" customHeight="1">
      <c r="B5" s="507" t="s">
        <v>1</v>
      </c>
      <c r="C5" s="448" t="s">
        <v>2</v>
      </c>
      <c r="D5" s="448" t="s">
        <v>213</v>
      </c>
      <c r="E5" s="449"/>
      <c r="F5" s="448" t="s">
        <v>3</v>
      </c>
      <c r="G5" s="448" t="s">
        <v>4</v>
      </c>
      <c r="H5" s="448" t="s">
        <v>5</v>
      </c>
      <c r="I5" s="448" t="s">
        <v>604</v>
      </c>
      <c r="J5" s="448" t="s">
        <v>543</v>
      </c>
      <c r="K5" s="448" t="s">
        <v>42</v>
      </c>
      <c r="L5" s="448" t="s">
        <v>6</v>
      </c>
      <c r="M5" s="448" t="s">
        <v>7</v>
      </c>
      <c r="N5" s="448" t="s">
        <v>29</v>
      </c>
      <c r="P5" s="255"/>
    </row>
    <row r="6" spans="1:18" ht="18" customHeight="1">
      <c r="B6" s="18" t="s">
        <v>10</v>
      </c>
      <c r="C6" s="3"/>
      <c r="D6" s="3"/>
      <c r="E6" s="307"/>
      <c r="F6" s="3"/>
      <c r="G6" s="3"/>
      <c r="H6" s="3"/>
      <c r="I6" s="3"/>
      <c r="J6" s="3"/>
      <c r="K6" s="3"/>
      <c r="L6" s="3"/>
      <c r="M6" s="3"/>
      <c r="N6" s="3"/>
      <c r="P6" s="255"/>
    </row>
    <row r="7" spans="1:18" ht="30" customHeight="1">
      <c r="B7" s="15" t="s">
        <v>253</v>
      </c>
      <c r="C7" s="3" t="s">
        <v>563</v>
      </c>
      <c r="D7" s="7" t="s">
        <v>216</v>
      </c>
      <c r="E7" s="308">
        <f>9692/2</f>
        <v>4846</v>
      </c>
      <c r="F7" s="9">
        <v>5040</v>
      </c>
      <c r="G7" s="9">
        <v>0</v>
      </c>
      <c r="H7" s="9">
        <f>F7</f>
        <v>5040</v>
      </c>
      <c r="I7" s="443"/>
      <c r="J7" s="9"/>
      <c r="K7" s="9">
        <v>423</v>
      </c>
      <c r="L7" s="9">
        <f>K7</f>
        <v>423</v>
      </c>
      <c r="M7" s="9">
        <f>H7+I7-L7-J7</f>
        <v>4617</v>
      </c>
      <c r="N7" s="3"/>
      <c r="P7" s="255"/>
      <c r="R7" s="14">
        <v>26270.560000000001</v>
      </c>
    </row>
    <row r="8" spans="1:18" s="571" customFormat="1" ht="30" customHeight="1">
      <c r="A8" s="14"/>
      <c r="B8" s="15" t="s">
        <v>254</v>
      </c>
      <c r="C8" s="3" t="s">
        <v>781</v>
      </c>
      <c r="D8" s="7" t="s">
        <v>217</v>
      </c>
      <c r="E8" s="308">
        <f>51014/2</f>
        <v>25507</v>
      </c>
      <c r="F8" s="9">
        <v>26527</v>
      </c>
      <c r="G8" s="9">
        <v>0</v>
      </c>
      <c r="H8" s="9">
        <f>F8</f>
        <v>26527</v>
      </c>
      <c r="I8" s="9"/>
      <c r="J8" s="9"/>
      <c r="K8" s="9">
        <v>5567</v>
      </c>
      <c r="L8" s="9">
        <f t="shared" ref="L8" si="1">K8</f>
        <v>5567</v>
      </c>
      <c r="M8" s="9">
        <f>H8+I8-L8-J8</f>
        <v>20960</v>
      </c>
      <c r="N8" s="3"/>
      <c r="O8" s="14" t="s">
        <v>782</v>
      </c>
      <c r="P8" s="255"/>
      <c r="Q8" s="14"/>
      <c r="R8" s="14">
        <v>8802</v>
      </c>
    </row>
    <row r="9" spans="1:18" s="20" customFormat="1" ht="24.95" customHeight="1" thickBot="1">
      <c r="B9" s="526" t="s">
        <v>9</v>
      </c>
      <c r="C9" s="527"/>
      <c r="D9" s="527"/>
      <c r="E9" s="528"/>
      <c r="F9" s="555">
        <f t="shared" ref="F9:M9" si="2">SUM(F7:F8)</f>
        <v>31567</v>
      </c>
      <c r="G9" s="555">
        <f t="shared" si="2"/>
        <v>0</v>
      </c>
      <c r="H9" s="555">
        <f t="shared" si="2"/>
        <v>31567</v>
      </c>
      <c r="I9" s="555">
        <f t="shared" si="2"/>
        <v>0</v>
      </c>
      <c r="J9" s="593">
        <f>SUM(J7:J8)</f>
        <v>0</v>
      </c>
      <c r="K9" s="555">
        <f t="shared" si="2"/>
        <v>5990</v>
      </c>
      <c r="L9" s="555">
        <f t="shared" si="2"/>
        <v>5990</v>
      </c>
      <c r="M9" s="531">
        <f t="shared" si="2"/>
        <v>25577</v>
      </c>
      <c r="N9" s="553"/>
      <c r="O9" s="252">
        <f>H9+I9-L9</f>
        <v>25577</v>
      </c>
      <c r="P9" s="255">
        <f t="shared" si="0"/>
        <v>0</v>
      </c>
      <c r="R9" s="20">
        <v>4758.59</v>
      </c>
    </row>
    <row r="10" spans="1:18" ht="18" customHeight="1" thickTop="1">
      <c r="B10" s="522"/>
      <c r="C10" s="37"/>
      <c r="D10" s="37"/>
      <c r="E10" s="313"/>
      <c r="F10" s="38"/>
      <c r="G10" s="38"/>
      <c r="H10" s="38"/>
      <c r="I10" s="38"/>
      <c r="J10" s="38"/>
      <c r="K10" s="38"/>
      <c r="L10" s="38"/>
      <c r="M10" s="39" t="s">
        <v>45</v>
      </c>
      <c r="N10" s="37"/>
      <c r="P10" s="255"/>
      <c r="R10" s="14">
        <v>16890.93</v>
      </c>
    </row>
    <row r="11" spans="1:18" ht="18" customHeight="1">
      <c r="B11" s="520" t="s">
        <v>11</v>
      </c>
      <c r="C11" s="285"/>
      <c r="D11" s="285"/>
      <c r="E11" s="521"/>
      <c r="F11" s="285"/>
      <c r="G11" s="285"/>
      <c r="H11" s="285"/>
      <c r="I11" s="285"/>
      <c r="J11" s="285"/>
      <c r="K11" s="285"/>
      <c r="L11" s="285"/>
      <c r="M11" s="285"/>
      <c r="N11" s="285"/>
      <c r="P11" s="255"/>
      <c r="R11" s="14">
        <v>7669.53</v>
      </c>
    </row>
    <row r="12" spans="1:18" ht="30" customHeight="1">
      <c r="B12" s="15" t="s">
        <v>255</v>
      </c>
      <c r="C12" s="3" t="s">
        <v>31</v>
      </c>
      <c r="D12" s="7" t="s">
        <v>524</v>
      </c>
      <c r="E12" s="308">
        <f>4592/2</f>
        <v>2296</v>
      </c>
      <c r="F12" s="8">
        <v>2388</v>
      </c>
      <c r="G12" s="8">
        <v>0</v>
      </c>
      <c r="H12" s="8">
        <f>F12</f>
        <v>2388</v>
      </c>
      <c r="I12" s="10">
        <v>24.04</v>
      </c>
      <c r="J12" s="10"/>
      <c r="K12" s="8"/>
      <c r="L12" s="8">
        <f>K12</f>
        <v>0</v>
      </c>
      <c r="M12" s="8">
        <f>H12+I12-L12-J12</f>
        <v>2412.04</v>
      </c>
      <c r="N12" s="3"/>
      <c r="P12" s="255"/>
      <c r="R12" s="14">
        <v>7335.92</v>
      </c>
    </row>
    <row r="13" spans="1:18" ht="30" customHeight="1">
      <c r="B13" s="15" t="s">
        <v>256</v>
      </c>
      <c r="C13" s="245" t="s">
        <v>515</v>
      </c>
      <c r="D13" s="7" t="s">
        <v>218</v>
      </c>
      <c r="E13" s="308">
        <f>15618/2</f>
        <v>7809</v>
      </c>
      <c r="F13" s="8">
        <v>8121</v>
      </c>
      <c r="G13" s="8">
        <v>0</v>
      </c>
      <c r="H13" s="8">
        <f>F13</f>
        <v>8121</v>
      </c>
      <c r="I13" s="8"/>
      <c r="J13" s="8"/>
      <c r="K13" s="8">
        <v>1014</v>
      </c>
      <c r="L13" s="8">
        <f>K13</f>
        <v>1014</v>
      </c>
      <c r="M13" s="8">
        <f>H13+I13-L13-J13</f>
        <v>7107</v>
      </c>
      <c r="N13" s="3"/>
      <c r="P13" s="255"/>
    </row>
    <row r="14" spans="1:18" s="20" customFormat="1" ht="18" customHeight="1" thickBot="1">
      <c r="B14" s="513" t="s">
        <v>9</v>
      </c>
      <c r="C14" s="527"/>
      <c r="D14" s="527"/>
      <c r="E14" s="528"/>
      <c r="F14" s="555">
        <f>SUM(F12:F13)</f>
        <v>10509</v>
      </c>
      <c r="G14" s="555">
        <f t="shared" ref="G14" si="3">SUM(G12:G13)</f>
        <v>0</v>
      </c>
      <c r="H14" s="555">
        <f t="shared" ref="H14:M14" si="4">SUM(H12:H13)</f>
        <v>10509</v>
      </c>
      <c r="I14" s="555">
        <f t="shared" si="4"/>
        <v>24.04</v>
      </c>
      <c r="J14" s="555">
        <f t="shared" si="4"/>
        <v>0</v>
      </c>
      <c r="K14" s="555">
        <f t="shared" si="4"/>
        <v>1014</v>
      </c>
      <c r="L14" s="555">
        <f t="shared" si="4"/>
        <v>1014</v>
      </c>
      <c r="M14" s="531">
        <f t="shared" si="4"/>
        <v>9519.0400000000009</v>
      </c>
      <c r="N14" s="553"/>
      <c r="O14" s="252">
        <f>H14+I14-L14</f>
        <v>9519.0400000000009</v>
      </c>
      <c r="P14" s="255">
        <f t="shared" si="0"/>
        <v>0</v>
      </c>
    </row>
    <row r="15" spans="1:18" ht="18" customHeight="1" thickTop="1">
      <c r="B15" s="523"/>
      <c r="C15" s="37"/>
      <c r="E15" s="311"/>
      <c r="F15" s="11"/>
      <c r="G15" s="11"/>
      <c r="H15" s="11"/>
      <c r="I15" s="12"/>
      <c r="J15" s="12"/>
      <c r="K15" s="11"/>
      <c r="L15" s="11"/>
      <c r="M15" s="13" t="s">
        <v>45</v>
      </c>
      <c r="O15" s="251"/>
      <c r="P15" s="255"/>
    </row>
    <row r="16" spans="1:18" ht="18" customHeight="1">
      <c r="B16" s="520" t="s">
        <v>12</v>
      </c>
      <c r="C16" s="524"/>
      <c r="D16" s="525"/>
      <c r="E16" s="519"/>
      <c r="F16" s="518"/>
      <c r="G16" s="518"/>
      <c r="H16" s="518"/>
      <c r="I16" s="518"/>
      <c r="J16" s="518"/>
      <c r="K16" s="518"/>
      <c r="L16" s="518"/>
      <c r="M16" s="518"/>
      <c r="N16" s="31"/>
      <c r="P16" s="255"/>
    </row>
    <row r="17" spans="2:16" ht="30" customHeight="1">
      <c r="B17" s="15" t="s">
        <v>257</v>
      </c>
      <c r="C17" s="3" t="s">
        <v>41</v>
      </c>
      <c r="D17" s="514" t="s">
        <v>219</v>
      </c>
      <c r="E17" s="515">
        <f>10942/2</f>
        <v>5471</v>
      </c>
      <c r="F17" s="516">
        <v>5690</v>
      </c>
      <c r="G17" s="516">
        <v>0</v>
      </c>
      <c r="H17" s="516">
        <f>F17</f>
        <v>5690</v>
      </c>
      <c r="I17" s="516"/>
      <c r="J17" s="516"/>
      <c r="K17" s="516">
        <v>529</v>
      </c>
      <c r="L17" s="516">
        <f>K17</f>
        <v>529</v>
      </c>
      <c r="M17" s="516">
        <f>H17+I17-L17-J17</f>
        <v>5161</v>
      </c>
      <c r="N17" s="285"/>
      <c r="P17" s="255"/>
    </row>
    <row r="18" spans="2:16" s="20" customFormat="1" ht="18" customHeight="1" thickBot="1">
      <c r="B18" s="19" t="s">
        <v>9</v>
      </c>
      <c r="C18" s="527"/>
      <c r="D18" s="527"/>
      <c r="E18" s="528"/>
      <c r="F18" s="555">
        <f>SUM(F17)</f>
        <v>5690</v>
      </c>
      <c r="G18" s="555">
        <f t="shared" ref="G18:L18" si="5">SUM(G17)</f>
        <v>0</v>
      </c>
      <c r="H18" s="555">
        <f>SUM(H17)</f>
        <v>5690</v>
      </c>
      <c r="I18" s="555">
        <f t="shared" si="5"/>
        <v>0</v>
      </c>
      <c r="J18" s="555">
        <f>SUM(J17)</f>
        <v>0</v>
      </c>
      <c r="K18" s="555">
        <f>SUM(K17)</f>
        <v>529</v>
      </c>
      <c r="L18" s="555">
        <f t="shared" si="5"/>
        <v>529</v>
      </c>
      <c r="M18" s="531">
        <f>SUM(M17)</f>
        <v>5161</v>
      </c>
      <c r="N18" s="553"/>
      <c r="O18" s="252">
        <f>H18+I18-L18</f>
        <v>5161</v>
      </c>
      <c r="P18" s="255">
        <f t="shared" si="0"/>
        <v>0</v>
      </c>
    </row>
    <row r="19" spans="2:16" ht="18" customHeight="1" thickTop="1">
      <c r="C19" s="147"/>
      <c r="E19" s="311"/>
      <c r="F19" s="11"/>
      <c r="G19" s="11"/>
      <c r="H19" s="11"/>
      <c r="I19" s="11"/>
      <c r="J19" s="11"/>
      <c r="K19" s="11"/>
      <c r="L19" s="11"/>
      <c r="M19" s="13" t="s">
        <v>45</v>
      </c>
      <c r="P19" s="255"/>
    </row>
    <row r="20" spans="2:16" ht="18" customHeight="1">
      <c r="E20" s="311"/>
      <c r="J20" s="118"/>
      <c r="P20" s="255"/>
    </row>
    <row r="21" spans="2:16" ht="18" customHeight="1">
      <c r="B21" s="517" t="s">
        <v>13</v>
      </c>
      <c r="C21" s="518"/>
      <c r="D21" s="518"/>
      <c r="E21" s="519"/>
      <c r="F21" s="518"/>
      <c r="G21" s="518"/>
      <c r="H21" s="518"/>
      <c r="I21" s="518"/>
      <c r="J21" s="518"/>
      <c r="K21" s="518"/>
      <c r="L21" s="518"/>
      <c r="M21" s="518"/>
      <c r="N21" s="518"/>
      <c r="P21" s="255"/>
    </row>
    <row r="22" spans="2:16" ht="30" customHeight="1">
      <c r="B22" s="603" t="s">
        <v>258</v>
      </c>
      <c r="C22" s="116" t="s">
        <v>423</v>
      </c>
      <c r="D22" s="604" t="s">
        <v>220</v>
      </c>
      <c r="E22" s="605"/>
      <c r="F22" s="606">
        <v>8121</v>
      </c>
      <c r="G22" s="606"/>
      <c r="H22" s="606">
        <f>F22</f>
        <v>8121</v>
      </c>
      <c r="I22" s="606"/>
      <c r="J22" s="606"/>
      <c r="K22" s="606">
        <v>1014</v>
      </c>
      <c r="L22" s="606">
        <f>K22+J22</f>
        <v>1014</v>
      </c>
      <c r="M22" s="606">
        <f>H22-L22</f>
        <v>7107</v>
      </c>
      <c r="N22" s="116"/>
      <c r="O22" s="14" t="s">
        <v>737</v>
      </c>
      <c r="P22" s="255"/>
    </row>
    <row r="23" spans="2:16" ht="30" customHeight="1">
      <c r="B23" s="603" t="s">
        <v>259</v>
      </c>
      <c r="C23" s="245" t="s">
        <v>273</v>
      </c>
      <c r="D23" s="604" t="s">
        <v>216</v>
      </c>
      <c r="E23" s="605"/>
      <c r="F23" s="606">
        <v>3981</v>
      </c>
      <c r="G23" s="606"/>
      <c r="H23" s="606">
        <v>3981</v>
      </c>
      <c r="I23" s="606"/>
      <c r="J23" s="606"/>
      <c r="K23" s="606">
        <v>296</v>
      </c>
      <c r="L23" s="606">
        <f>K23+J23</f>
        <v>296</v>
      </c>
      <c r="M23" s="606">
        <f>H23-L23</f>
        <v>3685</v>
      </c>
      <c r="N23" s="116"/>
      <c r="P23" s="255"/>
    </row>
    <row r="24" spans="2:16" s="20" customFormat="1" ht="18" customHeight="1" thickBot="1">
      <c r="B24" s="552" t="s">
        <v>9</v>
      </c>
      <c r="C24" s="553"/>
      <c r="D24" s="553"/>
      <c r="E24" s="554"/>
      <c r="F24" s="555">
        <f>SUM(F22:F23)</f>
        <v>12102</v>
      </c>
      <c r="G24" s="555"/>
      <c r="H24" s="555">
        <f>SUM(H22:H23)</f>
        <v>12102</v>
      </c>
      <c r="I24" s="555"/>
      <c r="J24" s="555">
        <f>SUM(J22)</f>
        <v>0</v>
      </c>
      <c r="K24" s="555">
        <f>SUM(K22:K23)</f>
        <v>1310</v>
      </c>
      <c r="L24" s="555">
        <f>SUM(L22:L23)</f>
        <v>1310</v>
      </c>
      <c r="M24" s="531">
        <f>SUM(M22:M23)</f>
        <v>10792</v>
      </c>
      <c r="N24" s="553"/>
      <c r="O24" s="252">
        <f>H24+I24-L24-J24</f>
        <v>10792</v>
      </c>
      <c r="P24" s="255">
        <f t="shared" si="0"/>
        <v>0</v>
      </c>
    </row>
    <row r="25" spans="2:16" ht="18" customHeight="1" thickTop="1">
      <c r="E25" s="311"/>
      <c r="F25" s="11"/>
      <c r="G25" s="11"/>
      <c r="H25" s="11"/>
      <c r="I25" s="12"/>
      <c r="J25" s="12"/>
      <c r="K25" s="11"/>
      <c r="L25" s="11"/>
      <c r="M25" s="13" t="s">
        <v>45</v>
      </c>
      <c r="P25" s="255"/>
    </row>
    <row r="26" spans="2:16" ht="18" customHeight="1">
      <c r="C26" s="666"/>
      <c r="D26" s="666"/>
      <c r="E26" s="666"/>
      <c r="F26" s="659"/>
      <c r="G26" s="659"/>
      <c r="H26" s="659"/>
      <c r="I26" s="659"/>
      <c r="J26" s="147"/>
      <c r="P26" s="255"/>
    </row>
    <row r="27" spans="2:16" ht="18" customHeight="1">
      <c r="B27" s="667" t="s">
        <v>200</v>
      </c>
      <c r="C27" s="668"/>
      <c r="D27" s="668"/>
      <c r="E27" s="668"/>
      <c r="F27" s="668"/>
      <c r="G27" s="668"/>
      <c r="H27" s="668"/>
      <c r="I27" s="668"/>
      <c r="J27" s="668"/>
      <c r="K27" s="668"/>
      <c r="L27" s="668"/>
      <c r="M27" s="668"/>
      <c r="N27" s="669"/>
      <c r="P27" s="255"/>
    </row>
    <row r="28" spans="2:16" ht="18" customHeight="1">
      <c r="B28" s="652" t="s">
        <v>826</v>
      </c>
      <c r="C28" s="653"/>
      <c r="D28" s="653"/>
      <c r="E28" s="653"/>
      <c r="F28" s="653"/>
      <c r="G28" s="653"/>
      <c r="H28" s="653"/>
      <c r="I28" s="653"/>
      <c r="J28" s="653"/>
      <c r="K28" s="653"/>
      <c r="L28" s="653"/>
      <c r="M28" s="653"/>
      <c r="N28" s="654"/>
      <c r="P28" s="255"/>
    </row>
    <row r="29" spans="2:16" ht="18" customHeight="1">
      <c r="B29" s="23"/>
      <c r="C29" s="24" t="s">
        <v>0</v>
      </c>
      <c r="D29" s="24"/>
      <c r="E29" s="309"/>
      <c r="N29" s="25"/>
      <c r="P29" s="255"/>
    </row>
    <row r="30" spans="2:16" ht="18" customHeight="1">
      <c r="B30" s="29" t="s">
        <v>527</v>
      </c>
      <c r="C30" s="24"/>
      <c r="D30" s="24"/>
      <c r="E30" s="309"/>
      <c r="N30" s="25"/>
      <c r="P30" s="255"/>
    </row>
    <row r="31" spans="2:16" ht="34.5" thickBot="1">
      <c r="B31" s="506" t="s">
        <v>1</v>
      </c>
      <c r="C31" s="450" t="s">
        <v>2</v>
      </c>
      <c r="D31" s="450"/>
      <c r="E31" s="451"/>
      <c r="F31" s="450" t="s">
        <v>3</v>
      </c>
      <c r="G31" s="450" t="s">
        <v>4</v>
      </c>
      <c r="H31" s="450" t="s">
        <v>5</v>
      </c>
      <c r="I31" s="450" t="s">
        <v>43</v>
      </c>
      <c r="J31" s="450" t="s">
        <v>544</v>
      </c>
      <c r="K31" s="450" t="s">
        <v>42</v>
      </c>
      <c r="L31" s="450" t="s">
        <v>6</v>
      </c>
      <c r="M31" s="450" t="s">
        <v>7</v>
      </c>
      <c r="N31" s="452" t="s">
        <v>29</v>
      </c>
      <c r="P31" s="255"/>
    </row>
    <row r="32" spans="2:16" ht="29.25" customHeight="1" thickTop="1">
      <c r="B32" s="15" t="s">
        <v>260</v>
      </c>
      <c r="C32" s="594" t="s">
        <v>718</v>
      </c>
      <c r="D32" s="7" t="s">
        <v>216</v>
      </c>
      <c r="E32" s="308">
        <f>7370/2</f>
        <v>3685</v>
      </c>
      <c r="F32" s="8">
        <v>3832</v>
      </c>
      <c r="G32" s="299">
        <v>0</v>
      </c>
      <c r="H32" s="8">
        <f>F32</f>
        <v>3832</v>
      </c>
      <c r="I32" s="10"/>
      <c r="J32" s="10"/>
      <c r="K32" s="8">
        <v>280</v>
      </c>
      <c r="L32" s="8">
        <f>K32</f>
        <v>280</v>
      </c>
      <c r="M32" s="8">
        <f>H32+I32-L32-J32</f>
        <v>3552</v>
      </c>
      <c r="N32" s="26"/>
      <c r="P32" s="255"/>
    </row>
    <row r="33" spans="2:16" ht="30" customHeight="1">
      <c r="B33" s="15" t="s">
        <v>261</v>
      </c>
      <c r="C33" s="3" t="s">
        <v>817</v>
      </c>
      <c r="D33" s="7" t="s">
        <v>221</v>
      </c>
      <c r="E33" s="308">
        <f>10384/2</f>
        <v>5192</v>
      </c>
      <c r="F33" s="8">
        <v>5400</v>
      </c>
      <c r="G33" s="8">
        <v>0</v>
      </c>
      <c r="H33" s="8">
        <f>F33</f>
        <v>5400</v>
      </c>
      <c r="I33" s="8"/>
      <c r="J33" s="8"/>
      <c r="K33" s="8">
        <v>481</v>
      </c>
      <c r="L33" s="8">
        <f>K33</f>
        <v>481</v>
      </c>
      <c r="M33" s="8">
        <f>H33-L33</f>
        <v>4919</v>
      </c>
      <c r="N33" s="25"/>
      <c r="O33" s="436" t="s">
        <v>806</v>
      </c>
      <c r="P33" s="437"/>
    </row>
    <row r="34" spans="2:16" s="20" customFormat="1" ht="18" customHeight="1" thickBot="1">
      <c r="B34" s="27" t="s">
        <v>9</v>
      </c>
      <c r="C34" s="28"/>
      <c r="D34" s="28"/>
      <c r="E34" s="310"/>
      <c r="F34" s="504">
        <f>SUM(F32:F33)</f>
        <v>9232</v>
      </c>
      <c r="G34" s="504">
        <f t="shared" ref="G34:I34" si="6">SUM(G32:G33)</f>
        <v>0</v>
      </c>
      <c r="H34" s="504">
        <f>SUM(H32:H33)</f>
        <v>9232</v>
      </c>
      <c r="I34" s="504">
        <f t="shared" si="6"/>
        <v>0</v>
      </c>
      <c r="J34" s="504">
        <f>SUM(J32:J33)</f>
        <v>0</v>
      </c>
      <c r="K34" s="504">
        <f>SUM(K32:K33)</f>
        <v>761</v>
      </c>
      <c r="L34" s="504">
        <f>SUM(L32:L33)</f>
        <v>761</v>
      </c>
      <c r="M34" s="207">
        <f>SUM(M32:M33)</f>
        <v>8471</v>
      </c>
      <c r="N34" s="544"/>
      <c r="O34" s="252">
        <f>H34+I34-L34</f>
        <v>8471</v>
      </c>
      <c r="P34" s="255">
        <f t="shared" si="0"/>
        <v>0</v>
      </c>
    </row>
    <row r="35" spans="2:16" ht="18" customHeight="1" thickTop="1">
      <c r="B35" s="23"/>
      <c r="E35" s="311"/>
      <c r="F35" s="11"/>
      <c r="G35" s="11"/>
      <c r="H35" s="11"/>
      <c r="I35" s="12"/>
      <c r="J35" s="12"/>
      <c r="K35" s="11"/>
      <c r="L35" s="11"/>
      <c r="M35" s="13" t="s">
        <v>45</v>
      </c>
      <c r="N35" s="25"/>
      <c r="P35" s="255"/>
    </row>
    <row r="36" spans="2:16" ht="18" customHeight="1">
      <c r="B36" s="29" t="s">
        <v>14</v>
      </c>
      <c r="E36" s="311"/>
      <c r="N36" s="25"/>
      <c r="P36" s="255"/>
    </row>
    <row r="37" spans="2:16" ht="30" customHeight="1">
      <c r="B37" s="15" t="s">
        <v>262</v>
      </c>
      <c r="C37" s="3" t="s">
        <v>204</v>
      </c>
      <c r="D37" s="7" t="s">
        <v>222</v>
      </c>
      <c r="E37" s="308">
        <f>5948/2</f>
        <v>2974</v>
      </c>
      <c r="F37" s="8">
        <v>3093</v>
      </c>
      <c r="G37" s="8">
        <v>0</v>
      </c>
      <c r="H37" s="8">
        <f>F37</f>
        <v>3093</v>
      </c>
      <c r="I37" s="10"/>
      <c r="J37" s="10"/>
      <c r="K37" s="8">
        <v>52</v>
      </c>
      <c r="L37" s="8">
        <f>K37</f>
        <v>52</v>
      </c>
      <c r="M37" s="8">
        <f>H37+I37-L37-J37</f>
        <v>3041</v>
      </c>
      <c r="N37" s="25"/>
      <c r="P37" s="255"/>
    </row>
    <row r="38" spans="2:16" ht="30" customHeight="1">
      <c r="B38" s="15" t="s">
        <v>342</v>
      </c>
      <c r="C38" s="3" t="s">
        <v>564</v>
      </c>
      <c r="D38" s="7" t="s">
        <v>223</v>
      </c>
      <c r="E38" s="308">
        <f>10384/2</f>
        <v>5192</v>
      </c>
      <c r="F38" s="8">
        <v>5400</v>
      </c>
      <c r="G38" s="8">
        <v>0</v>
      </c>
      <c r="H38" s="8">
        <f>F38</f>
        <v>5400</v>
      </c>
      <c r="I38" s="8"/>
      <c r="J38" s="8"/>
      <c r="K38" s="8">
        <v>481</v>
      </c>
      <c r="L38" s="8">
        <f>K38</f>
        <v>481</v>
      </c>
      <c r="M38" s="8">
        <f>H38+I38-L38-J38</f>
        <v>4919</v>
      </c>
      <c r="N38" s="30"/>
      <c r="P38" s="255"/>
    </row>
    <row r="39" spans="2:16" s="20" customFormat="1" ht="18" customHeight="1" thickBot="1">
      <c r="B39" s="27" t="s">
        <v>9</v>
      </c>
      <c r="C39" s="28"/>
      <c r="D39" s="28"/>
      <c r="E39" s="310"/>
      <c r="F39" s="504">
        <f>SUM(F37:F38)</f>
        <v>8493</v>
      </c>
      <c r="G39" s="504">
        <f t="shared" ref="G39:L39" si="7">SUM(G37:G38)</f>
        <v>0</v>
      </c>
      <c r="H39" s="504">
        <f>SUM(H37:H38)</f>
        <v>8493</v>
      </c>
      <c r="I39" s="504">
        <f t="shared" si="7"/>
        <v>0</v>
      </c>
      <c r="J39" s="504">
        <f>SUM(J37:J38)</f>
        <v>0</v>
      </c>
      <c r="K39" s="504">
        <f>SUM(K37:K38)</f>
        <v>533</v>
      </c>
      <c r="L39" s="504">
        <f t="shared" si="7"/>
        <v>533</v>
      </c>
      <c r="M39" s="207">
        <f>SUM(M37:M38)</f>
        <v>7960</v>
      </c>
      <c r="N39" s="544"/>
      <c r="O39" s="252">
        <f>H39+I39-L39</f>
        <v>7960</v>
      </c>
      <c r="P39" s="255">
        <f t="shared" si="0"/>
        <v>0</v>
      </c>
    </row>
    <row r="40" spans="2:16" ht="18" customHeight="1" thickTop="1">
      <c r="B40" s="23"/>
      <c r="E40" s="311"/>
      <c r="F40" s="11"/>
      <c r="G40" s="11"/>
      <c r="H40" s="11"/>
      <c r="I40" s="12"/>
      <c r="J40" s="12"/>
      <c r="K40" s="11"/>
      <c r="L40" s="11"/>
      <c r="M40" s="13" t="s">
        <v>45</v>
      </c>
      <c r="N40" s="25"/>
      <c r="P40" s="255"/>
    </row>
    <row r="41" spans="2:16" ht="18" customHeight="1">
      <c r="B41" s="23"/>
      <c r="E41" s="311"/>
      <c r="N41" s="25"/>
      <c r="P41" s="255"/>
    </row>
    <row r="42" spans="2:16" ht="18" customHeight="1">
      <c r="B42" s="29" t="s">
        <v>15</v>
      </c>
      <c r="E42" s="311"/>
      <c r="N42" s="25"/>
      <c r="P42" s="255"/>
    </row>
    <row r="43" spans="2:16" ht="30" customHeight="1">
      <c r="B43" s="15" t="s">
        <v>343</v>
      </c>
      <c r="C43" s="3" t="s">
        <v>407</v>
      </c>
      <c r="D43" s="7" t="s">
        <v>224</v>
      </c>
      <c r="E43" s="308"/>
      <c r="F43" s="8">
        <v>9063</v>
      </c>
      <c r="G43" s="8"/>
      <c r="H43" s="8">
        <f>F43</f>
        <v>9063</v>
      </c>
      <c r="I43" s="8"/>
      <c r="J43" s="8"/>
      <c r="K43" s="8">
        <v>1215</v>
      </c>
      <c r="L43" s="8">
        <f>K43+J43</f>
        <v>1215</v>
      </c>
      <c r="M43" s="8">
        <f>H43-L43</f>
        <v>7848</v>
      </c>
      <c r="N43" s="285"/>
      <c r="O43" s="177" t="s">
        <v>736</v>
      </c>
      <c r="P43" s="255"/>
    </row>
    <row r="44" spans="2:16" ht="30" customHeight="1">
      <c r="B44" s="15" t="s">
        <v>344</v>
      </c>
      <c r="C44" s="3" t="s">
        <v>561</v>
      </c>
      <c r="D44" s="7" t="s">
        <v>232</v>
      </c>
      <c r="E44" s="308">
        <f>12210/2</f>
        <v>6105</v>
      </c>
      <c r="F44" s="8">
        <v>5925.73</v>
      </c>
      <c r="G44" s="8">
        <v>0</v>
      </c>
      <c r="H44" s="8">
        <f>F44</f>
        <v>5925.73</v>
      </c>
      <c r="I44" s="8"/>
      <c r="J44" s="8"/>
      <c r="K44" s="8">
        <v>603.86</v>
      </c>
      <c r="L44" s="8">
        <f>K44</f>
        <v>603.86</v>
      </c>
      <c r="M44" s="8">
        <f>H44+I44-L44-J44</f>
        <v>5321.87</v>
      </c>
      <c r="N44" s="25"/>
      <c r="O44" s="177"/>
      <c r="P44" s="255"/>
    </row>
    <row r="45" spans="2:16" ht="30" customHeight="1">
      <c r="B45" s="15" t="s">
        <v>345</v>
      </c>
      <c r="C45" s="3" t="s">
        <v>562</v>
      </c>
      <c r="D45" s="7" t="s">
        <v>216</v>
      </c>
      <c r="E45" s="308">
        <f>7414/2</f>
        <v>3707</v>
      </c>
      <c r="F45" s="8">
        <v>3855</v>
      </c>
      <c r="G45" s="8">
        <v>0</v>
      </c>
      <c r="H45" s="8">
        <f>F45</f>
        <v>3855</v>
      </c>
      <c r="I45" s="10"/>
      <c r="J45" s="10"/>
      <c r="K45" s="8">
        <v>282</v>
      </c>
      <c r="L45" s="8">
        <f t="shared" ref="L45" si="8">K45</f>
        <v>282</v>
      </c>
      <c r="M45" s="8">
        <f>H45+I45-L45-J45</f>
        <v>3573</v>
      </c>
      <c r="N45" s="25"/>
      <c r="O45" s="177"/>
      <c r="P45" s="255"/>
    </row>
    <row r="46" spans="2:16" s="20" customFormat="1" ht="18" customHeight="1" thickBot="1">
      <c r="B46" s="27" t="s">
        <v>9</v>
      </c>
      <c r="C46" s="28"/>
      <c r="D46" s="28"/>
      <c r="E46" s="310"/>
      <c r="F46" s="504">
        <f t="shared" ref="F46:M46" si="9">SUM(F43:F45)</f>
        <v>18843.73</v>
      </c>
      <c r="G46" s="504">
        <f t="shared" si="9"/>
        <v>0</v>
      </c>
      <c r="H46" s="504">
        <f t="shared" si="9"/>
        <v>18843.73</v>
      </c>
      <c r="I46" s="504">
        <f t="shared" si="9"/>
        <v>0</v>
      </c>
      <c r="J46" s="504">
        <f t="shared" si="9"/>
        <v>0</v>
      </c>
      <c r="K46" s="504">
        <f t="shared" si="9"/>
        <v>2100.86</v>
      </c>
      <c r="L46" s="504">
        <f t="shared" si="9"/>
        <v>2100.86</v>
      </c>
      <c r="M46" s="207">
        <f t="shared" si="9"/>
        <v>16742.87</v>
      </c>
      <c r="N46" s="544"/>
      <c r="O46" s="253">
        <f>H46+I46-L46-J46</f>
        <v>16742.87</v>
      </c>
      <c r="P46" s="255">
        <f t="shared" si="0"/>
        <v>0</v>
      </c>
    </row>
    <row r="47" spans="2:16" ht="18" customHeight="1" thickTop="1">
      <c r="B47" s="23"/>
      <c r="E47" s="311"/>
      <c r="F47" s="11"/>
      <c r="G47" s="11"/>
      <c r="H47" s="11"/>
      <c r="I47" s="12"/>
      <c r="J47" s="12"/>
      <c r="K47" s="11"/>
      <c r="L47" s="11"/>
      <c r="M47" s="13" t="s">
        <v>45</v>
      </c>
      <c r="N47" s="25"/>
      <c r="P47" s="255"/>
    </row>
    <row r="48" spans="2:16" ht="18" customHeight="1">
      <c r="B48" s="23"/>
      <c r="E48" s="311"/>
      <c r="N48" s="25"/>
      <c r="P48" s="255"/>
    </row>
    <row r="49" spans="2:16" ht="18" customHeight="1">
      <c r="B49" s="29" t="s">
        <v>16</v>
      </c>
      <c r="E49" s="311"/>
      <c r="N49" s="25"/>
      <c r="P49" s="255"/>
    </row>
    <row r="50" spans="2:16" ht="30" customHeight="1">
      <c r="B50" s="15" t="s">
        <v>346</v>
      </c>
      <c r="C50" s="3" t="s">
        <v>35</v>
      </c>
      <c r="D50" s="7" t="s">
        <v>226</v>
      </c>
      <c r="E50" s="308">
        <f>8374/2</f>
        <v>4187</v>
      </c>
      <c r="F50" s="8">
        <v>4354</v>
      </c>
      <c r="G50" s="8">
        <v>0</v>
      </c>
      <c r="H50" s="8">
        <f>F50</f>
        <v>4354</v>
      </c>
      <c r="I50" s="8"/>
      <c r="J50" s="8"/>
      <c r="K50" s="8">
        <v>337</v>
      </c>
      <c r="L50" s="8">
        <f>K50</f>
        <v>337</v>
      </c>
      <c r="M50" s="8">
        <f>H50+I50-L50-J50</f>
        <v>4017</v>
      </c>
      <c r="N50" s="32"/>
      <c r="P50" s="255"/>
    </row>
    <row r="51" spans="2:16" ht="30" customHeight="1">
      <c r="B51" s="15" t="s">
        <v>347</v>
      </c>
      <c r="C51" s="3" t="s">
        <v>577</v>
      </c>
      <c r="D51" s="7" t="s">
        <v>664</v>
      </c>
      <c r="E51" s="308">
        <f>10384/2</f>
        <v>5192</v>
      </c>
      <c r="F51" s="8">
        <v>5900</v>
      </c>
      <c r="G51" s="8">
        <v>0</v>
      </c>
      <c r="H51" s="8">
        <f>F51</f>
        <v>5900</v>
      </c>
      <c r="I51" s="8"/>
      <c r="J51" s="8"/>
      <c r="K51" s="8">
        <v>567</v>
      </c>
      <c r="L51" s="8">
        <f>J51+K51</f>
        <v>567</v>
      </c>
      <c r="M51" s="8">
        <f>H51-L51</f>
        <v>5333</v>
      </c>
      <c r="N51" s="33"/>
      <c r="P51" s="255"/>
    </row>
    <row r="52" spans="2:16" s="20" customFormat="1" ht="18" customHeight="1" thickBot="1">
      <c r="B52" s="27" t="s">
        <v>9</v>
      </c>
      <c r="C52" s="28"/>
      <c r="D52" s="28"/>
      <c r="E52" s="310"/>
      <c r="F52" s="504">
        <f>SUM(F50:F51)</f>
        <v>10254</v>
      </c>
      <c r="G52" s="504">
        <f t="shared" ref="G52:L52" si="10">SUM(G50:G51)</f>
        <v>0</v>
      </c>
      <c r="H52" s="504">
        <f>SUM(H50:H51)</f>
        <v>10254</v>
      </c>
      <c r="I52" s="504">
        <f t="shared" si="10"/>
        <v>0</v>
      </c>
      <c r="J52" s="504">
        <f>SUM(J50:J51)</f>
        <v>0</v>
      </c>
      <c r="K52" s="504">
        <f>SUM(K50:K51)</f>
        <v>904</v>
      </c>
      <c r="L52" s="504">
        <f t="shared" si="10"/>
        <v>904</v>
      </c>
      <c r="M52" s="207">
        <f>SUM(M50:M51)</f>
        <v>9350</v>
      </c>
      <c r="N52" s="544"/>
      <c r="O52" s="252">
        <f>H52+I52-L52</f>
        <v>9350</v>
      </c>
      <c r="P52" s="255">
        <f t="shared" si="0"/>
        <v>0</v>
      </c>
    </row>
    <row r="53" spans="2:16" ht="18" customHeight="1" thickTop="1">
      <c r="E53" s="312"/>
      <c r="F53" s="11"/>
      <c r="G53" s="11"/>
      <c r="H53" s="11"/>
      <c r="I53" s="11"/>
      <c r="J53" s="11"/>
      <c r="K53" s="11"/>
      <c r="L53" s="11"/>
      <c r="M53" s="13" t="s">
        <v>45</v>
      </c>
      <c r="N53" s="25"/>
      <c r="P53" s="255"/>
    </row>
    <row r="54" spans="2:16" ht="18" customHeight="1">
      <c r="E54" s="312"/>
      <c r="F54" s="11"/>
      <c r="G54" s="11"/>
      <c r="H54" s="11"/>
      <c r="I54" s="11"/>
      <c r="J54" s="11"/>
      <c r="K54" s="11"/>
      <c r="L54" s="11"/>
      <c r="M54" s="13"/>
      <c r="N54" s="25"/>
      <c r="P54" s="255"/>
    </row>
    <row r="55" spans="2:16" ht="18" customHeight="1">
      <c r="B55" s="649" t="s">
        <v>200</v>
      </c>
      <c r="C55" s="650"/>
      <c r="D55" s="650"/>
      <c r="E55" s="650"/>
      <c r="F55" s="650"/>
      <c r="G55" s="650"/>
      <c r="H55" s="650"/>
      <c r="I55" s="650"/>
      <c r="J55" s="650"/>
      <c r="K55" s="650"/>
      <c r="L55" s="650"/>
      <c r="M55" s="650"/>
      <c r="N55" s="651"/>
      <c r="P55" s="255"/>
    </row>
    <row r="56" spans="2:16" ht="18" customHeight="1">
      <c r="B56" s="652" t="s">
        <v>827</v>
      </c>
      <c r="C56" s="653"/>
      <c r="D56" s="653"/>
      <c r="E56" s="653"/>
      <c r="F56" s="653"/>
      <c r="G56" s="653"/>
      <c r="H56" s="653"/>
      <c r="I56" s="653"/>
      <c r="J56" s="653"/>
      <c r="K56" s="653"/>
      <c r="L56" s="653"/>
      <c r="M56" s="653"/>
      <c r="N56" s="654"/>
      <c r="P56" s="255"/>
    </row>
    <row r="57" spans="2:16" ht="18" customHeight="1">
      <c r="B57" s="23"/>
      <c r="C57" s="24" t="s">
        <v>0</v>
      </c>
      <c r="D57" s="24"/>
      <c r="E57" s="309"/>
      <c r="N57" s="25"/>
      <c r="P57" s="255"/>
    </row>
    <row r="58" spans="2:16" ht="40.5" customHeight="1" thickBot="1">
      <c r="B58" s="506" t="s">
        <v>1</v>
      </c>
      <c r="C58" s="450" t="s">
        <v>2</v>
      </c>
      <c r="D58" s="450"/>
      <c r="E58" s="451"/>
      <c r="F58" s="450" t="s">
        <v>3</v>
      </c>
      <c r="G58" s="450" t="s">
        <v>4</v>
      </c>
      <c r="H58" s="450" t="s">
        <v>5</v>
      </c>
      <c r="I58" s="450" t="s">
        <v>43</v>
      </c>
      <c r="J58" s="450"/>
      <c r="K58" s="450" t="s">
        <v>42</v>
      </c>
      <c r="L58" s="450" t="s">
        <v>6</v>
      </c>
      <c r="M58" s="450" t="s">
        <v>7</v>
      </c>
      <c r="N58" s="452" t="s">
        <v>29</v>
      </c>
      <c r="P58" s="255"/>
    </row>
    <row r="59" spans="2:16" ht="18" customHeight="1" thickTop="1">
      <c r="B59" s="29" t="s">
        <v>17</v>
      </c>
      <c r="E59" s="311"/>
      <c r="N59" s="25"/>
      <c r="P59" s="255"/>
    </row>
    <row r="60" spans="2:16" ht="18" customHeight="1">
      <c r="B60" s="15" t="s">
        <v>348</v>
      </c>
      <c r="C60" s="3" t="s">
        <v>519</v>
      </c>
      <c r="D60" s="7" t="s">
        <v>520</v>
      </c>
      <c r="E60" s="308">
        <f>10384/2</f>
        <v>5192</v>
      </c>
      <c r="F60" s="381">
        <v>5400</v>
      </c>
      <c r="G60" s="21"/>
      <c r="H60" s="21">
        <f>F60</f>
        <v>5400</v>
      </c>
      <c r="I60" s="21"/>
      <c r="J60" s="381"/>
      <c r="K60" s="381">
        <v>481</v>
      </c>
      <c r="L60" s="21">
        <f>J60+K60</f>
        <v>481</v>
      </c>
      <c r="M60" s="21">
        <f>H60-L60</f>
        <v>4919</v>
      </c>
      <c r="N60" s="25"/>
      <c r="P60" s="255"/>
    </row>
    <row r="61" spans="2:16" ht="24.95" customHeight="1">
      <c r="B61" s="15" t="s">
        <v>349</v>
      </c>
      <c r="C61" s="3" t="s">
        <v>36</v>
      </c>
      <c r="D61" s="7" t="s">
        <v>232</v>
      </c>
      <c r="E61" s="308">
        <f>7942/2</f>
        <v>3971</v>
      </c>
      <c r="F61" s="8">
        <v>4130</v>
      </c>
      <c r="G61" s="8">
        <v>0</v>
      </c>
      <c r="H61" s="8">
        <f>F61</f>
        <v>4130</v>
      </c>
      <c r="I61" s="8"/>
      <c r="J61" s="8"/>
      <c r="K61" s="8">
        <v>312</v>
      </c>
      <c r="L61" s="8">
        <f>K61</f>
        <v>312</v>
      </c>
      <c r="M61" s="8">
        <f>H61+I61-L61-J61</f>
        <v>3818</v>
      </c>
      <c r="N61" s="3"/>
      <c r="O61" s="300"/>
      <c r="P61" s="255"/>
    </row>
    <row r="62" spans="2:16" s="20" customFormat="1" ht="24.95" customHeight="1" thickBot="1">
      <c r="B62" s="27" t="s">
        <v>9</v>
      </c>
      <c r="C62" s="28"/>
      <c r="D62" s="28"/>
      <c r="E62" s="310"/>
      <c r="F62" s="504">
        <f>SUM(F61+F60)</f>
        <v>9530</v>
      </c>
      <c r="G62" s="504">
        <f t="shared" ref="G62:I62" si="11">SUM(G61)</f>
        <v>0</v>
      </c>
      <c r="H62" s="504">
        <f>SUM(H60:H61)</f>
        <v>9530</v>
      </c>
      <c r="I62" s="504">
        <f t="shared" si="11"/>
        <v>0</v>
      </c>
      <c r="J62" s="504">
        <f>SUM(J60:J61)</f>
        <v>0</v>
      </c>
      <c r="K62" s="504">
        <f>SUM(K60:K61)</f>
        <v>793</v>
      </c>
      <c r="L62" s="504">
        <f>SUM(L60:L61)</f>
        <v>793</v>
      </c>
      <c r="M62" s="207">
        <f>SUM(M60:M61)</f>
        <v>8737</v>
      </c>
      <c r="N62" s="544"/>
      <c r="O62" s="252">
        <f>H62+I62-L62-J62</f>
        <v>8737</v>
      </c>
      <c r="P62" s="255">
        <f t="shared" si="0"/>
        <v>0</v>
      </c>
    </row>
    <row r="63" spans="2:16" ht="24.95" customHeight="1" thickTop="1">
      <c r="B63" s="23"/>
      <c r="E63" s="311"/>
      <c r="F63" s="11"/>
      <c r="G63" s="11"/>
      <c r="H63" s="11"/>
      <c r="I63" s="11"/>
      <c r="J63" s="11"/>
      <c r="K63" s="11"/>
      <c r="L63" s="11"/>
      <c r="M63" s="13" t="s">
        <v>45</v>
      </c>
      <c r="N63" s="25"/>
      <c r="P63" s="255"/>
    </row>
    <row r="64" spans="2:16" ht="24.95" customHeight="1">
      <c r="B64" s="23"/>
      <c r="E64" s="311"/>
      <c r="N64" s="25"/>
      <c r="P64" s="255"/>
    </row>
    <row r="65" spans="2:16" ht="24.95" customHeight="1">
      <c r="B65" s="29" t="s">
        <v>18</v>
      </c>
      <c r="E65" s="311"/>
      <c r="N65" s="25"/>
      <c r="P65" s="255"/>
    </row>
    <row r="66" spans="2:16" ht="24.95" customHeight="1">
      <c r="B66" s="15"/>
      <c r="C66" s="3"/>
      <c r="D66" s="7"/>
      <c r="E66" s="308">
        <f>7942/2</f>
        <v>3971</v>
      </c>
      <c r="F66" s="8"/>
      <c r="G66" s="8"/>
      <c r="H66" s="8"/>
      <c r="I66" s="8"/>
      <c r="J66" s="8"/>
      <c r="K66" s="8"/>
      <c r="L66" s="8"/>
      <c r="M66" s="8"/>
      <c r="N66" s="26"/>
      <c r="P66" s="255"/>
    </row>
    <row r="67" spans="2:16" ht="24.95" customHeight="1">
      <c r="B67" s="15" t="s">
        <v>350</v>
      </c>
      <c r="C67" s="3" t="s">
        <v>37</v>
      </c>
      <c r="D67" s="7" t="s">
        <v>228</v>
      </c>
      <c r="E67" s="308">
        <f>10942/2</f>
        <v>5471</v>
      </c>
      <c r="F67" s="8">
        <v>5690</v>
      </c>
      <c r="G67" s="8">
        <v>0</v>
      </c>
      <c r="H67" s="8">
        <f>F67</f>
        <v>5690</v>
      </c>
      <c r="I67" s="8"/>
      <c r="J67" s="8"/>
      <c r="K67" s="8">
        <v>529</v>
      </c>
      <c r="L67" s="8">
        <f t="shared" ref="L67" si="12">K67</f>
        <v>529</v>
      </c>
      <c r="M67" s="8">
        <f t="shared" ref="M67" si="13">H67+I67-L67-J67:J69</f>
        <v>5161</v>
      </c>
      <c r="N67" s="25"/>
      <c r="P67" s="255"/>
    </row>
    <row r="68" spans="2:16" ht="24.95" customHeight="1">
      <c r="B68" s="15" t="s">
        <v>351</v>
      </c>
      <c r="C68" s="3" t="s">
        <v>38</v>
      </c>
      <c r="D68" s="7" t="s">
        <v>229</v>
      </c>
      <c r="E68" s="308">
        <f>7940/2</f>
        <v>3970</v>
      </c>
      <c r="F68" s="8">
        <v>4129</v>
      </c>
      <c r="G68" s="8">
        <v>0</v>
      </c>
      <c r="H68" s="8">
        <f>F68</f>
        <v>4129</v>
      </c>
      <c r="I68" s="8"/>
      <c r="J68" s="8"/>
      <c r="K68" s="8">
        <v>312</v>
      </c>
      <c r="L68" s="8">
        <f>K68</f>
        <v>312</v>
      </c>
      <c r="M68" s="8">
        <f>H68+I68-L68-J68</f>
        <v>3817</v>
      </c>
      <c r="N68" s="31"/>
      <c r="P68" s="255"/>
    </row>
    <row r="69" spans="2:16" s="20" customFormat="1" ht="24.95" customHeight="1" thickBot="1">
      <c r="B69" s="27" t="s">
        <v>9</v>
      </c>
      <c r="C69" s="28"/>
      <c r="D69" s="28"/>
      <c r="E69" s="310"/>
      <c r="F69" s="504">
        <f>SUM(F66:F68)</f>
        <v>9819</v>
      </c>
      <c r="G69" s="504">
        <f t="shared" ref="G69:I69" si="14">SUM(G66:G68)</f>
        <v>0</v>
      </c>
      <c r="H69" s="504">
        <f>SUM(H66:H68)</f>
        <v>9819</v>
      </c>
      <c r="I69" s="504">
        <f t="shared" si="14"/>
        <v>0</v>
      </c>
      <c r="J69" s="504">
        <f>SUM(J66:J68)</f>
        <v>0</v>
      </c>
      <c r="K69" s="504">
        <f>SUM(K66:K68)</f>
        <v>841</v>
      </c>
      <c r="L69" s="504">
        <f>SUM(L66:L68)</f>
        <v>841</v>
      </c>
      <c r="M69" s="207">
        <f>SUM(M66:M68)</f>
        <v>8978</v>
      </c>
      <c r="N69" s="544"/>
      <c r="O69" s="252">
        <f>H69+I69-L69</f>
        <v>8978</v>
      </c>
      <c r="P69" s="255">
        <f t="shared" ref="P69:P120" si="15">M69-O69</f>
        <v>0</v>
      </c>
    </row>
    <row r="70" spans="2:16" ht="24.95" customHeight="1" thickTop="1">
      <c r="B70" s="23"/>
      <c r="E70" s="311"/>
      <c r="F70" s="11"/>
      <c r="G70" s="11"/>
      <c r="H70" s="11"/>
      <c r="I70" s="11"/>
      <c r="J70" s="11"/>
      <c r="K70" s="11"/>
      <c r="L70" s="11"/>
      <c r="M70" s="13" t="s">
        <v>45</v>
      </c>
      <c r="N70" s="25"/>
      <c r="P70" s="255"/>
    </row>
    <row r="71" spans="2:16" ht="24.95" customHeight="1">
      <c r="B71" s="23"/>
      <c r="E71" s="311"/>
      <c r="N71" s="25"/>
      <c r="P71" s="255"/>
    </row>
    <row r="72" spans="2:16" ht="24.95" customHeight="1">
      <c r="B72" s="29" t="s">
        <v>19</v>
      </c>
      <c r="E72" s="311"/>
      <c r="N72" s="25"/>
      <c r="P72" s="255"/>
    </row>
    <row r="73" spans="2:16" ht="24.95" customHeight="1">
      <c r="B73" s="15" t="s">
        <v>352</v>
      </c>
      <c r="C73" s="3" t="s">
        <v>422</v>
      </c>
      <c r="D73" s="7" t="s">
        <v>230</v>
      </c>
      <c r="E73" s="308">
        <f>16078/2</f>
        <v>8039</v>
      </c>
      <c r="F73" s="8">
        <v>8360</v>
      </c>
      <c r="G73" s="8">
        <v>0</v>
      </c>
      <c r="H73" s="8">
        <f>F73</f>
        <v>8360</v>
      </c>
      <c r="I73" s="8"/>
      <c r="J73" s="8"/>
      <c r="K73" s="8">
        <v>1065</v>
      </c>
      <c r="L73" s="8">
        <f>K73</f>
        <v>1065</v>
      </c>
      <c r="M73" s="8">
        <f>H73+I73-L73-J73</f>
        <v>7295</v>
      </c>
      <c r="N73" s="26"/>
      <c r="P73" s="255"/>
    </row>
    <row r="74" spans="2:16" s="20" customFormat="1" ht="24.95" customHeight="1" thickBot="1">
      <c r="B74" s="27" t="s">
        <v>9</v>
      </c>
      <c r="C74" s="28"/>
      <c r="D74" s="28"/>
      <c r="E74" s="310"/>
      <c r="F74" s="504">
        <f>SUM(F73)</f>
        <v>8360</v>
      </c>
      <c r="G74" s="504">
        <f t="shared" ref="G74:I74" si="16">SUM(G73)</f>
        <v>0</v>
      </c>
      <c r="H74" s="504">
        <f>SUM(H73)</f>
        <v>8360</v>
      </c>
      <c r="I74" s="504">
        <f t="shared" si="16"/>
        <v>0</v>
      </c>
      <c r="J74" s="504">
        <f>SUM(J73)</f>
        <v>0</v>
      </c>
      <c r="K74" s="504">
        <f>SUM(K73)</f>
        <v>1065</v>
      </c>
      <c r="L74" s="504">
        <f>SUM(L73)</f>
        <v>1065</v>
      </c>
      <c r="M74" s="207">
        <f>SUM(M73)</f>
        <v>7295</v>
      </c>
      <c r="N74" s="549"/>
      <c r="O74" s="252">
        <f>H74+I74-L74</f>
        <v>7295</v>
      </c>
      <c r="P74" s="255">
        <f t="shared" si="15"/>
        <v>0</v>
      </c>
    </row>
    <row r="75" spans="2:16" ht="18" customHeight="1" thickTop="1">
      <c r="B75" s="36"/>
      <c r="C75" s="37"/>
      <c r="D75" s="37"/>
      <c r="E75" s="313"/>
      <c r="F75" s="38"/>
      <c r="G75" s="38"/>
      <c r="H75" s="38"/>
      <c r="I75" s="38"/>
      <c r="J75" s="38"/>
      <c r="K75" s="38"/>
      <c r="L75" s="38"/>
      <c r="M75" s="39" t="s">
        <v>45</v>
      </c>
      <c r="N75" s="26"/>
      <c r="P75" s="255"/>
    </row>
    <row r="76" spans="2:16" ht="18" customHeight="1">
      <c r="E76" s="312"/>
      <c r="P76" s="255"/>
    </row>
    <row r="77" spans="2:16" ht="18" customHeight="1">
      <c r="E77" s="312"/>
      <c r="P77" s="255"/>
    </row>
    <row r="78" spans="2:16" ht="18" customHeight="1">
      <c r="E78" s="312"/>
      <c r="P78" s="255"/>
    </row>
    <row r="79" spans="2:16" ht="18" customHeight="1">
      <c r="B79" s="649" t="s">
        <v>200</v>
      </c>
      <c r="C79" s="650"/>
      <c r="D79" s="650"/>
      <c r="E79" s="650"/>
      <c r="F79" s="650"/>
      <c r="G79" s="650"/>
      <c r="H79" s="650"/>
      <c r="I79" s="650"/>
      <c r="J79" s="650"/>
      <c r="K79" s="650"/>
      <c r="L79" s="650"/>
      <c r="M79" s="650"/>
      <c r="N79" s="651"/>
      <c r="P79" s="255"/>
    </row>
    <row r="80" spans="2:16" ht="18" customHeight="1">
      <c r="B80" s="652" t="s">
        <v>828</v>
      </c>
      <c r="C80" s="653"/>
      <c r="D80" s="653"/>
      <c r="E80" s="653"/>
      <c r="F80" s="653"/>
      <c r="G80" s="653"/>
      <c r="H80" s="653"/>
      <c r="I80" s="653"/>
      <c r="J80" s="653"/>
      <c r="K80" s="653"/>
      <c r="L80" s="653"/>
      <c r="M80" s="653"/>
      <c r="N80" s="654"/>
      <c r="P80" s="255"/>
    </row>
    <row r="81" spans="2:16" ht="18" customHeight="1">
      <c r="B81" s="23"/>
      <c r="C81" s="24" t="s">
        <v>0</v>
      </c>
      <c r="D81" s="24"/>
      <c r="E81" s="309"/>
      <c r="N81" s="25"/>
      <c r="P81" s="255"/>
    </row>
    <row r="82" spans="2:16" ht="39" customHeight="1" thickBot="1">
      <c r="B82" s="506" t="s">
        <v>1</v>
      </c>
      <c r="C82" s="450" t="s">
        <v>2</v>
      </c>
      <c r="D82" s="450"/>
      <c r="E82" s="451"/>
      <c r="F82" s="450" t="s">
        <v>3</v>
      </c>
      <c r="G82" s="450" t="s">
        <v>4</v>
      </c>
      <c r="H82" s="450" t="s">
        <v>5</v>
      </c>
      <c r="I82" s="450" t="s">
        <v>43</v>
      </c>
      <c r="J82" s="450"/>
      <c r="K82" s="450" t="s">
        <v>42</v>
      </c>
      <c r="L82" s="450" t="s">
        <v>6</v>
      </c>
      <c r="M82" s="450" t="s">
        <v>7</v>
      </c>
      <c r="N82" s="452" t="s">
        <v>29</v>
      </c>
      <c r="P82" s="255"/>
    </row>
    <row r="83" spans="2:16" ht="18" customHeight="1" thickTop="1">
      <c r="B83" s="29" t="s">
        <v>20</v>
      </c>
      <c r="E83" s="311"/>
      <c r="N83" s="25"/>
      <c r="P83" s="255"/>
    </row>
    <row r="84" spans="2:16" ht="30" customHeight="1">
      <c r="B84" s="15" t="s">
        <v>353</v>
      </c>
      <c r="C84" s="3" t="s">
        <v>395</v>
      </c>
      <c r="D84" s="7" t="s">
        <v>231</v>
      </c>
      <c r="E84" s="308">
        <f>14560/2</f>
        <v>7280</v>
      </c>
      <c r="F84" s="8">
        <v>7571</v>
      </c>
      <c r="G84" s="8">
        <v>0</v>
      </c>
      <c r="H84" s="8">
        <f t="shared" ref="H84:H90" si="17">F84</f>
        <v>7571</v>
      </c>
      <c r="I84" s="8"/>
      <c r="J84" s="8"/>
      <c r="K84" s="8">
        <v>897</v>
      </c>
      <c r="L84" s="8">
        <f>K84</f>
        <v>897</v>
      </c>
      <c r="M84" s="8">
        <f>H84+I84-L84-J84</f>
        <v>6674</v>
      </c>
      <c r="N84" s="26"/>
      <c r="P84" s="255"/>
    </row>
    <row r="85" spans="2:16" ht="30" customHeight="1">
      <c r="B85" s="15" t="s">
        <v>354</v>
      </c>
      <c r="C85" s="3" t="s">
        <v>396</v>
      </c>
      <c r="D85" s="7" t="s">
        <v>231</v>
      </c>
      <c r="E85" s="308">
        <f>14560/2</f>
        <v>7280</v>
      </c>
      <c r="F85" s="8">
        <v>7571</v>
      </c>
      <c r="G85" s="8">
        <v>0</v>
      </c>
      <c r="H85" s="8">
        <f t="shared" si="17"/>
        <v>7571</v>
      </c>
      <c r="I85" s="8"/>
      <c r="J85" s="8"/>
      <c r="K85" s="8">
        <v>897</v>
      </c>
      <c r="L85" s="8">
        <f t="shared" ref="L85:L90" si="18">K85</f>
        <v>897</v>
      </c>
      <c r="M85" s="8">
        <f t="shared" ref="M85:M90" si="19">H85+I85-L85-J85</f>
        <v>6674</v>
      </c>
      <c r="N85" s="25"/>
      <c r="P85" s="255"/>
    </row>
    <row r="86" spans="2:16" ht="30" customHeight="1">
      <c r="B86" s="15" t="s">
        <v>355</v>
      </c>
      <c r="C86" s="3" t="s">
        <v>397</v>
      </c>
      <c r="D86" s="7" t="s">
        <v>231</v>
      </c>
      <c r="E86" s="308">
        <f>14560/2</f>
        <v>7280</v>
      </c>
      <c r="F86" s="8">
        <v>7571</v>
      </c>
      <c r="G86" s="8">
        <v>0</v>
      </c>
      <c r="H86" s="8">
        <f t="shared" si="17"/>
        <v>7571</v>
      </c>
      <c r="I86" s="8"/>
      <c r="J86" s="8"/>
      <c r="K86" s="8">
        <v>897</v>
      </c>
      <c r="L86" s="8">
        <f t="shared" si="18"/>
        <v>897</v>
      </c>
      <c r="M86" s="8">
        <f t="shared" si="19"/>
        <v>6674</v>
      </c>
      <c r="N86" s="30"/>
      <c r="P86" s="255"/>
    </row>
    <row r="87" spans="2:16" ht="30" customHeight="1">
      <c r="B87" s="15" t="s">
        <v>356</v>
      </c>
      <c r="C87" s="3" t="s">
        <v>398</v>
      </c>
      <c r="D87" s="7" t="s">
        <v>225</v>
      </c>
      <c r="E87" s="308">
        <f>8506/2</f>
        <v>4253</v>
      </c>
      <c r="F87" s="8">
        <v>4423</v>
      </c>
      <c r="G87" s="8">
        <v>0</v>
      </c>
      <c r="H87" s="8">
        <f t="shared" si="17"/>
        <v>4423</v>
      </c>
      <c r="I87" s="8"/>
      <c r="J87" s="8"/>
      <c r="K87" s="8">
        <v>344</v>
      </c>
      <c r="L87" s="8">
        <f t="shared" si="18"/>
        <v>344</v>
      </c>
      <c r="M87" s="8">
        <f t="shared" si="19"/>
        <v>4079</v>
      </c>
      <c r="N87" s="30"/>
      <c r="P87" s="255"/>
    </row>
    <row r="88" spans="2:16" ht="30" customHeight="1">
      <c r="B88" s="15" t="s">
        <v>357</v>
      </c>
      <c r="C88" s="3" t="s">
        <v>399</v>
      </c>
      <c r="D88" s="7" t="s">
        <v>232</v>
      </c>
      <c r="E88" s="308">
        <f>7106/2</f>
        <v>3553</v>
      </c>
      <c r="F88" s="8">
        <v>3695</v>
      </c>
      <c r="G88" s="8">
        <v>0</v>
      </c>
      <c r="H88" s="8">
        <f t="shared" si="17"/>
        <v>3695</v>
      </c>
      <c r="I88" s="10"/>
      <c r="J88" s="10"/>
      <c r="K88" s="8">
        <v>265</v>
      </c>
      <c r="L88" s="8">
        <f t="shared" si="18"/>
        <v>265</v>
      </c>
      <c r="M88" s="8">
        <f t="shared" si="19"/>
        <v>3430</v>
      </c>
      <c r="N88" s="30"/>
      <c r="P88" s="255"/>
    </row>
    <row r="89" spans="2:16" ht="30" customHeight="1">
      <c r="B89" s="15" t="s">
        <v>358</v>
      </c>
      <c r="C89" s="3" t="s">
        <v>400</v>
      </c>
      <c r="D89" s="7" t="s">
        <v>232</v>
      </c>
      <c r="E89" s="308">
        <f>7398/2</f>
        <v>3699</v>
      </c>
      <c r="F89" s="8">
        <v>3847</v>
      </c>
      <c r="G89" s="8">
        <v>0</v>
      </c>
      <c r="H89" s="8">
        <f t="shared" si="17"/>
        <v>3847</v>
      </c>
      <c r="I89" s="10"/>
      <c r="J89" s="8"/>
      <c r="K89" s="8">
        <v>282</v>
      </c>
      <c r="L89" s="8">
        <f t="shared" si="18"/>
        <v>282</v>
      </c>
      <c r="M89" s="8">
        <f>H89+I89-L89-J89</f>
        <v>3565</v>
      </c>
      <c r="N89" s="31"/>
      <c r="P89" s="255"/>
    </row>
    <row r="90" spans="2:16" ht="30" customHeight="1">
      <c r="B90" s="15" t="s">
        <v>359</v>
      </c>
      <c r="C90" s="3" t="s">
        <v>552</v>
      </c>
      <c r="D90" s="7" t="s">
        <v>553</v>
      </c>
      <c r="E90" s="308">
        <f>8552/2</f>
        <v>4276</v>
      </c>
      <c r="F90" s="8">
        <v>5148</v>
      </c>
      <c r="G90" s="8">
        <v>0</v>
      </c>
      <c r="H90" s="8">
        <f t="shared" si="17"/>
        <v>5148</v>
      </c>
      <c r="I90" s="10"/>
      <c r="J90" s="10"/>
      <c r="K90" s="8">
        <v>441</v>
      </c>
      <c r="L90" s="8">
        <f t="shared" si="18"/>
        <v>441</v>
      </c>
      <c r="M90" s="8">
        <f t="shared" si="19"/>
        <v>4707</v>
      </c>
      <c r="N90" s="25"/>
      <c r="P90" s="255"/>
    </row>
    <row r="91" spans="2:16" s="20" customFormat="1" ht="18" customHeight="1" thickBot="1">
      <c r="B91" s="27" t="s">
        <v>9</v>
      </c>
      <c r="C91" s="28"/>
      <c r="D91" s="28"/>
      <c r="E91" s="310"/>
      <c r="F91" s="504">
        <f>SUM(F84:F90)</f>
        <v>39826</v>
      </c>
      <c r="G91" s="504">
        <f>SUM(G84:G90)</f>
        <v>0</v>
      </c>
      <c r="H91" s="504">
        <f>SUM(H84:H90)</f>
        <v>39826</v>
      </c>
      <c r="I91" s="504">
        <f>SUM(I84:I89)</f>
        <v>0</v>
      </c>
      <c r="J91" s="504">
        <f>SUM(J84:J89)</f>
        <v>0</v>
      </c>
      <c r="K91" s="504">
        <f>SUM(K84:K90)</f>
        <v>4023</v>
      </c>
      <c r="L91" s="504">
        <f>SUM(L84:L90)</f>
        <v>4023</v>
      </c>
      <c r="M91" s="207">
        <f>SUM(M84:M90)</f>
        <v>35803</v>
      </c>
      <c r="N91" s="547"/>
      <c r="O91" s="252">
        <f>H91+I91-L91</f>
        <v>35803</v>
      </c>
      <c r="P91" s="255">
        <f t="shared" si="15"/>
        <v>0</v>
      </c>
    </row>
    <row r="92" spans="2:16" ht="18" customHeight="1" thickTop="1">
      <c r="B92" s="23"/>
      <c r="E92" s="311"/>
      <c r="F92" s="11"/>
      <c r="G92" s="11"/>
      <c r="H92" s="11"/>
      <c r="I92" s="12"/>
      <c r="J92" s="12"/>
      <c r="K92" s="11"/>
      <c r="L92" s="11"/>
      <c r="M92" s="13" t="s">
        <v>45</v>
      </c>
      <c r="N92" s="25"/>
      <c r="P92" s="255"/>
    </row>
    <row r="93" spans="2:16" ht="18" customHeight="1">
      <c r="B93" s="23"/>
      <c r="E93" s="311"/>
      <c r="N93" s="25"/>
      <c r="P93" s="255"/>
    </row>
    <row r="94" spans="2:16" ht="18" customHeight="1">
      <c r="B94" s="29" t="s">
        <v>21</v>
      </c>
      <c r="E94" s="311"/>
      <c r="N94" s="25"/>
      <c r="P94" s="255"/>
    </row>
    <row r="95" spans="2:16" ht="30" customHeight="1">
      <c r="B95" s="15" t="s">
        <v>360</v>
      </c>
      <c r="C95" s="3" t="s">
        <v>401</v>
      </c>
      <c r="D95" s="7" t="s">
        <v>233</v>
      </c>
      <c r="E95" s="308">
        <f>7414/2</f>
        <v>3707</v>
      </c>
      <c r="F95" s="8">
        <v>3855</v>
      </c>
      <c r="G95" s="8">
        <v>0</v>
      </c>
      <c r="H95" s="8">
        <f>F95</f>
        <v>3855</v>
      </c>
      <c r="I95" s="8"/>
      <c r="J95" s="8"/>
      <c r="K95" s="8">
        <v>282</v>
      </c>
      <c r="L95" s="8">
        <f>K95</f>
        <v>282</v>
      </c>
      <c r="M95" s="8">
        <f>H95+I95-L95-J95</f>
        <v>3573</v>
      </c>
      <c r="N95" s="26"/>
      <c r="P95" s="255"/>
    </row>
    <row r="96" spans="2:16" s="20" customFormat="1" ht="18" customHeight="1" thickBot="1">
      <c r="B96" s="27" t="s">
        <v>9</v>
      </c>
      <c r="C96" s="28"/>
      <c r="D96" s="28"/>
      <c r="E96" s="310"/>
      <c r="F96" s="504">
        <f t="shared" ref="F96:I96" si="20">SUM(F95:F95)</f>
        <v>3855</v>
      </c>
      <c r="G96" s="504">
        <f t="shared" si="20"/>
        <v>0</v>
      </c>
      <c r="H96" s="504">
        <f>SUM(H95:H95)</f>
        <v>3855</v>
      </c>
      <c r="I96" s="504">
        <f t="shared" si="20"/>
        <v>0</v>
      </c>
      <c r="J96" s="504">
        <f>SUM(J95)</f>
        <v>0</v>
      </c>
      <c r="K96" s="504">
        <f>SUM(K95:K95)</f>
        <v>282</v>
      </c>
      <c r="L96" s="504">
        <f>SUM(L95:L95)</f>
        <v>282</v>
      </c>
      <c r="M96" s="207">
        <f>SUM(M95:M95)</f>
        <v>3573</v>
      </c>
      <c r="N96" s="549"/>
      <c r="O96" s="252">
        <f>H96+I96-L96</f>
        <v>3573</v>
      </c>
      <c r="P96" s="255">
        <f t="shared" si="15"/>
        <v>0</v>
      </c>
    </row>
    <row r="97" spans="2:17" ht="18" customHeight="1" thickTop="1">
      <c r="B97" s="23"/>
      <c r="E97" s="311"/>
      <c r="F97" s="11"/>
      <c r="G97" s="11"/>
      <c r="H97" s="11"/>
      <c r="I97" s="12"/>
      <c r="J97" s="12"/>
      <c r="K97" s="11"/>
      <c r="L97" s="11"/>
      <c r="M97" s="13" t="s">
        <v>45</v>
      </c>
      <c r="N97" s="25"/>
      <c r="P97" s="255"/>
    </row>
    <row r="98" spans="2:17" ht="18" customHeight="1">
      <c r="B98" s="23"/>
      <c r="E98" s="311"/>
      <c r="N98" s="25"/>
      <c r="P98" s="255"/>
    </row>
    <row r="99" spans="2:17" ht="18" customHeight="1">
      <c r="B99" s="29" t="s">
        <v>22</v>
      </c>
      <c r="E99" s="311"/>
      <c r="N99" s="25"/>
      <c r="P99" s="255"/>
    </row>
    <row r="100" spans="2:17" ht="30" customHeight="1">
      <c r="B100" s="15" t="s">
        <v>361</v>
      </c>
      <c r="C100" s="3" t="s">
        <v>39</v>
      </c>
      <c r="D100" s="7" t="s">
        <v>235</v>
      </c>
      <c r="E100" s="308">
        <f>10384/2</f>
        <v>5192</v>
      </c>
      <c r="F100" s="8">
        <v>5400</v>
      </c>
      <c r="G100" s="8">
        <v>0</v>
      </c>
      <c r="H100" s="8">
        <f>F100</f>
        <v>5400</v>
      </c>
      <c r="I100" s="10"/>
      <c r="J100" s="10"/>
      <c r="K100" s="8">
        <v>481</v>
      </c>
      <c r="L100" s="8">
        <f>K100</f>
        <v>481</v>
      </c>
      <c r="M100" s="8">
        <f>H100+I100-L100-J100</f>
        <v>4919</v>
      </c>
      <c r="N100" s="25"/>
      <c r="P100" s="255"/>
    </row>
    <row r="101" spans="2:17" s="20" customFormat="1" ht="18" customHeight="1" thickBot="1">
      <c r="B101" s="27" t="s">
        <v>9</v>
      </c>
      <c r="C101" s="28"/>
      <c r="D101" s="28"/>
      <c r="E101" s="310"/>
      <c r="F101" s="504">
        <f t="shared" ref="F101:M101" si="21">SUM(F100:F100)</f>
        <v>5400</v>
      </c>
      <c r="G101" s="504">
        <f t="shared" si="21"/>
        <v>0</v>
      </c>
      <c r="H101" s="504">
        <f t="shared" si="21"/>
        <v>5400</v>
      </c>
      <c r="I101" s="504">
        <f t="shared" si="21"/>
        <v>0</v>
      </c>
      <c r="J101" s="504">
        <f t="shared" si="21"/>
        <v>0</v>
      </c>
      <c r="K101" s="504">
        <f t="shared" si="21"/>
        <v>481</v>
      </c>
      <c r="L101" s="504">
        <f t="shared" si="21"/>
        <v>481</v>
      </c>
      <c r="M101" s="207">
        <f t="shared" si="21"/>
        <v>4919</v>
      </c>
      <c r="N101" s="547"/>
      <c r="O101" s="252">
        <f>H101+I101-L101</f>
        <v>4919</v>
      </c>
      <c r="P101" s="255">
        <f t="shared" si="15"/>
        <v>0</v>
      </c>
    </row>
    <row r="102" spans="2:17" ht="18" customHeight="1" thickTop="1">
      <c r="B102" s="36"/>
      <c r="C102" s="37"/>
      <c r="D102" s="37"/>
      <c r="E102" s="313"/>
      <c r="F102" s="38"/>
      <c r="G102" s="38"/>
      <c r="H102" s="38"/>
      <c r="I102" s="40"/>
      <c r="J102" s="40"/>
      <c r="K102" s="38"/>
      <c r="L102" s="38"/>
      <c r="M102" s="39" t="s">
        <v>45</v>
      </c>
      <c r="N102" s="26"/>
      <c r="P102" s="255"/>
    </row>
    <row r="103" spans="2:17" ht="18" customHeight="1">
      <c r="E103" s="312"/>
      <c r="F103" s="11"/>
      <c r="G103" s="11"/>
      <c r="H103" s="11"/>
      <c r="I103" s="12"/>
      <c r="J103" s="12"/>
      <c r="K103" s="11"/>
      <c r="L103" s="11"/>
      <c r="M103" s="13"/>
      <c r="P103" s="255"/>
    </row>
    <row r="104" spans="2:17" ht="18" customHeight="1">
      <c r="B104" s="649" t="s">
        <v>200</v>
      </c>
      <c r="C104" s="650"/>
      <c r="D104" s="650"/>
      <c r="E104" s="650"/>
      <c r="F104" s="650"/>
      <c r="G104" s="650"/>
      <c r="H104" s="650"/>
      <c r="I104" s="650"/>
      <c r="J104" s="650"/>
      <c r="K104" s="650"/>
      <c r="L104" s="650"/>
      <c r="M104" s="650"/>
      <c r="N104" s="651"/>
      <c r="P104" s="255"/>
    </row>
    <row r="105" spans="2:17" ht="18" customHeight="1">
      <c r="B105" s="652" t="s">
        <v>829</v>
      </c>
      <c r="C105" s="653"/>
      <c r="D105" s="653"/>
      <c r="E105" s="653"/>
      <c r="F105" s="653"/>
      <c r="G105" s="653"/>
      <c r="H105" s="653"/>
      <c r="I105" s="653"/>
      <c r="J105" s="653"/>
      <c r="K105" s="653"/>
      <c r="L105" s="653"/>
      <c r="M105" s="653"/>
      <c r="N105" s="654"/>
      <c r="P105" s="255"/>
    </row>
    <row r="106" spans="2:17" ht="18" customHeight="1">
      <c r="B106" s="23"/>
      <c r="C106" s="24" t="s">
        <v>0</v>
      </c>
      <c r="D106" s="24"/>
      <c r="E106" s="309"/>
      <c r="N106" s="25"/>
      <c r="P106" s="255"/>
    </row>
    <row r="107" spans="2:17" ht="32.25" customHeight="1" thickBot="1">
      <c r="B107" s="506" t="s">
        <v>1</v>
      </c>
      <c r="C107" s="450" t="s">
        <v>2</v>
      </c>
      <c r="D107" s="450"/>
      <c r="E107" s="451"/>
      <c r="F107" s="450" t="s">
        <v>3</v>
      </c>
      <c r="G107" s="450" t="s">
        <v>4</v>
      </c>
      <c r="H107" s="450" t="s">
        <v>5</v>
      </c>
      <c r="I107" s="450" t="s">
        <v>43</v>
      </c>
      <c r="J107" s="450" t="s">
        <v>544</v>
      </c>
      <c r="K107" s="450" t="s">
        <v>42</v>
      </c>
      <c r="L107" s="450" t="s">
        <v>6</v>
      </c>
      <c r="M107" s="450" t="s">
        <v>7</v>
      </c>
      <c r="N107" s="452" t="s">
        <v>29</v>
      </c>
      <c r="P107" s="255"/>
    </row>
    <row r="108" spans="2:17" ht="18" customHeight="1" thickTop="1">
      <c r="B108" s="29" t="s">
        <v>23</v>
      </c>
      <c r="E108" s="311"/>
      <c r="N108" s="25"/>
      <c r="P108" s="255"/>
    </row>
    <row r="109" spans="2:17" ht="30" customHeight="1">
      <c r="B109" s="15" t="s">
        <v>362</v>
      </c>
      <c r="C109" s="3" t="s">
        <v>403</v>
      </c>
      <c r="D109" s="7" t="s">
        <v>236</v>
      </c>
      <c r="E109" s="308">
        <f>6324/2</f>
        <v>3162</v>
      </c>
      <c r="F109" s="8">
        <v>3288</v>
      </c>
      <c r="G109" s="8">
        <v>0</v>
      </c>
      <c r="H109" s="8">
        <f>F109</f>
        <v>3288</v>
      </c>
      <c r="I109" s="10"/>
      <c r="J109" s="10"/>
      <c r="K109" s="8">
        <v>94</v>
      </c>
      <c r="L109" s="8">
        <f>K109</f>
        <v>94</v>
      </c>
      <c r="M109" s="8">
        <f>H109+I109-L109-J109</f>
        <v>3194</v>
      </c>
      <c r="N109" s="25"/>
      <c r="O109" s="177"/>
      <c r="P109" s="255"/>
    </row>
    <row r="110" spans="2:17" ht="30" customHeight="1">
      <c r="B110" s="15" t="s">
        <v>363</v>
      </c>
      <c r="C110" s="3" t="s">
        <v>404</v>
      </c>
      <c r="D110" s="7" t="s">
        <v>236</v>
      </c>
      <c r="E110" s="308">
        <f>7940/2</f>
        <v>3970</v>
      </c>
      <c r="F110" s="8">
        <v>4129</v>
      </c>
      <c r="G110" s="8">
        <v>0</v>
      </c>
      <c r="H110" s="8">
        <f>F110</f>
        <v>4129</v>
      </c>
      <c r="I110" s="10"/>
      <c r="J110" s="10"/>
      <c r="K110" s="8">
        <v>312</v>
      </c>
      <c r="L110" s="8">
        <f t="shared" ref="L110:L113" si="22">K110</f>
        <v>312</v>
      </c>
      <c r="M110" s="8">
        <f t="shared" ref="M110:M112" si="23">H110+I110-L110-J110</f>
        <v>3817</v>
      </c>
      <c r="N110" s="31"/>
      <c r="O110" s="273"/>
      <c r="P110" s="273">
        <v>3524.16</v>
      </c>
      <c r="Q110" s="273"/>
    </row>
    <row r="111" spans="2:17" ht="30" customHeight="1">
      <c r="B111" s="15" t="s">
        <v>364</v>
      </c>
      <c r="C111" s="3" t="s">
        <v>405</v>
      </c>
      <c r="D111" s="7" t="s">
        <v>236</v>
      </c>
      <c r="E111" s="308">
        <f>7940/2</f>
        <v>3970</v>
      </c>
      <c r="F111" s="8">
        <v>4129</v>
      </c>
      <c r="G111" s="8">
        <v>0</v>
      </c>
      <c r="H111" s="8">
        <f>F111</f>
        <v>4129</v>
      </c>
      <c r="I111" s="10"/>
      <c r="J111" s="10"/>
      <c r="K111" s="8">
        <v>312</v>
      </c>
      <c r="L111" s="8">
        <f t="shared" si="22"/>
        <v>312</v>
      </c>
      <c r="M111" s="8">
        <f t="shared" si="23"/>
        <v>3817</v>
      </c>
      <c r="N111" s="25"/>
      <c r="O111" s="273"/>
      <c r="P111" s="273">
        <v>3524.16</v>
      </c>
    </row>
    <row r="112" spans="2:17" ht="30" customHeight="1">
      <c r="B112" s="15" t="s">
        <v>365</v>
      </c>
      <c r="C112" s="3" t="s">
        <v>558</v>
      </c>
      <c r="D112" s="7" t="s">
        <v>236</v>
      </c>
      <c r="E112" s="308">
        <f>7404/2</f>
        <v>3702</v>
      </c>
      <c r="F112" s="8">
        <v>4389</v>
      </c>
      <c r="G112" s="8">
        <v>0</v>
      </c>
      <c r="H112" s="8">
        <f>F112</f>
        <v>4389</v>
      </c>
      <c r="I112" s="10"/>
      <c r="J112" s="10"/>
      <c r="K112" s="8">
        <v>341</v>
      </c>
      <c r="L112" s="8">
        <f t="shared" si="22"/>
        <v>341</v>
      </c>
      <c r="M112" s="8">
        <f t="shared" si="23"/>
        <v>4048</v>
      </c>
      <c r="N112" s="402"/>
      <c r="O112" s="177"/>
      <c r="P112" s="255"/>
    </row>
    <row r="113" spans="2:16" ht="30" customHeight="1">
      <c r="B113" s="15" t="s">
        <v>366</v>
      </c>
      <c r="C113" s="3" t="s">
        <v>406</v>
      </c>
      <c r="D113" s="7" t="s">
        <v>236</v>
      </c>
      <c r="E113" s="308">
        <f>8172/2</f>
        <v>4086</v>
      </c>
      <c r="F113" s="8">
        <v>4249</v>
      </c>
      <c r="G113" s="8">
        <v>0</v>
      </c>
      <c r="H113" s="8">
        <f>F113</f>
        <v>4249</v>
      </c>
      <c r="I113" s="8"/>
      <c r="J113" s="8"/>
      <c r="K113" s="8">
        <v>325</v>
      </c>
      <c r="L113" s="8">
        <f t="shared" si="22"/>
        <v>325</v>
      </c>
      <c r="M113" s="8">
        <f>H113+I113-L113-J113</f>
        <v>3924</v>
      </c>
      <c r="N113" s="31"/>
      <c r="O113" s="177"/>
      <c r="P113" s="255"/>
    </row>
    <row r="114" spans="2:16" s="20" customFormat="1" ht="18" customHeight="1" thickBot="1">
      <c r="B114" s="27" t="s">
        <v>9</v>
      </c>
      <c r="C114" s="28"/>
      <c r="D114" s="28"/>
      <c r="E114" s="310"/>
      <c r="F114" s="504">
        <f>SUM(F109:F113)</f>
        <v>20184</v>
      </c>
      <c r="G114" s="504">
        <f t="shared" ref="G114:M114" si="24">SUM(G109:G113)</f>
        <v>0</v>
      </c>
      <c r="H114" s="504">
        <f t="shared" si="24"/>
        <v>20184</v>
      </c>
      <c r="I114" s="504">
        <f t="shared" si="24"/>
        <v>0</v>
      </c>
      <c r="J114" s="504">
        <f>SUM(J109:J113)</f>
        <v>0</v>
      </c>
      <c r="K114" s="504">
        <f t="shared" si="24"/>
        <v>1384</v>
      </c>
      <c r="L114" s="504">
        <f>SUM(L109:L113)</f>
        <v>1384</v>
      </c>
      <c r="M114" s="207">
        <f t="shared" si="24"/>
        <v>18800</v>
      </c>
      <c r="N114" s="549"/>
      <c r="O114" s="253">
        <f>H114+I114-L114</f>
        <v>18800</v>
      </c>
      <c r="P114" s="255">
        <f t="shared" si="15"/>
        <v>0</v>
      </c>
    </row>
    <row r="115" spans="2:16" ht="18" customHeight="1" thickTop="1">
      <c r="B115" s="23"/>
      <c r="E115" s="311"/>
      <c r="F115" s="11"/>
      <c r="G115" s="11"/>
      <c r="H115" s="11"/>
      <c r="I115" s="12"/>
      <c r="J115" s="12"/>
      <c r="K115" s="11"/>
      <c r="L115" s="11"/>
      <c r="M115" s="13" t="s">
        <v>45</v>
      </c>
      <c r="N115" s="25"/>
      <c r="P115" s="255"/>
    </row>
    <row r="116" spans="2:16" ht="18" customHeight="1">
      <c r="B116" s="23"/>
      <c r="E116" s="311"/>
      <c r="N116" s="25"/>
      <c r="P116" s="255"/>
    </row>
    <row r="117" spans="2:16" ht="18" customHeight="1">
      <c r="B117" s="29" t="s">
        <v>24</v>
      </c>
      <c r="E117" s="311"/>
      <c r="N117" s="25"/>
      <c r="P117" s="255"/>
    </row>
    <row r="118" spans="2:16" ht="18" customHeight="1">
      <c r="B118" s="15" t="s">
        <v>367</v>
      </c>
      <c r="C118" s="3" t="s">
        <v>565</v>
      </c>
      <c r="D118" s="7" t="s">
        <v>566</v>
      </c>
      <c r="E118" s="308">
        <f>12210/2</f>
        <v>6105</v>
      </c>
      <c r="F118" s="381">
        <v>6349</v>
      </c>
      <c r="G118" s="3"/>
      <c r="H118" s="267">
        <f>F118</f>
        <v>6349</v>
      </c>
      <c r="I118" s="3"/>
      <c r="J118" s="381"/>
      <c r="K118" s="3">
        <v>647</v>
      </c>
      <c r="L118" s="3">
        <f>K118</f>
        <v>647</v>
      </c>
      <c r="M118" s="267">
        <f>H118-L118-J118</f>
        <v>5702</v>
      </c>
      <c r="N118" s="25"/>
      <c r="P118" s="255"/>
    </row>
    <row r="119" spans="2:16" ht="30" customHeight="1">
      <c r="B119" s="15" t="s">
        <v>368</v>
      </c>
      <c r="C119" s="3" t="s">
        <v>408</v>
      </c>
      <c r="D119" s="7" t="s">
        <v>232</v>
      </c>
      <c r="E119" s="308">
        <f>7088/2</f>
        <v>3544</v>
      </c>
      <c r="F119" s="8">
        <v>4224</v>
      </c>
      <c r="G119" s="8">
        <v>0</v>
      </c>
      <c r="H119" s="8">
        <f>F119</f>
        <v>4224</v>
      </c>
      <c r="I119" s="10"/>
      <c r="J119" s="10"/>
      <c r="K119" s="8">
        <v>323</v>
      </c>
      <c r="L119" s="21">
        <f>K119</f>
        <v>323</v>
      </c>
      <c r="M119" s="8">
        <f>H119+I119-L119-J119</f>
        <v>3901</v>
      </c>
      <c r="N119" s="31"/>
      <c r="P119" s="255"/>
    </row>
    <row r="120" spans="2:16" s="20" customFormat="1" ht="18" customHeight="1" thickBot="1">
      <c r="B120" s="27" t="s">
        <v>9</v>
      </c>
      <c r="C120" s="28"/>
      <c r="D120" s="28"/>
      <c r="E120" s="310"/>
      <c r="F120" s="504">
        <f>SUM(F118:F119)</f>
        <v>10573</v>
      </c>
      <c r="G120" s="504">
        <f t="shared" ref="G120:I120" si="25">SUM(G119:G119)</f>
        <v>0</v>
      </c>
      <c r="H120" s="504">
        <f>SUM(H118:H119)</f>
        <v>10573</v>
      </c>
      <c r="I120" s="504">
        <f t="shared" si="25"/>
        <v>0</v>
      </c>
      <c r="J120" s="504">
        <f>J118</f>
        <v>0</v>
      </c>
      <c r="K120" s="504">
        <f>SUM(K118:K119)</f>
        <v>970</v>
      </c>
      <c r="L120" s="504">
        <f>SUM(L118:L119)</f>
        <v>970</v>
      </c>
      <c r="M120" s="207">
        <f>SUM(M118:M119)</f>
        <v>9603</v>
      </c>
      <c r="N120" s="549"/>
      <c r="O120" s="252">
        <f>H120+I120-L120</f>
        <v>9603</v>
      </c>
      <c r="P120" s="255">
        <f t="shared" si="15"/>
        <v>0</v>
      </c>
    </row>
    <row r="121" spans="2:16" ht="18" customHeight="1" thickTop="1">
      <c r="B121" s="36"/>
      <c r="C121" s="37"/>
      <c r="D121" s="37"/>
      <c r="E121" s="313"/>
      <c r="F121" s="38"/>
      <c r="G121" s="38"/>
      <c r="H121" s="38"/>
      <c r="I121" s="40"/>
      <c r="J121" s="40"/>
      <c r="K121" s="38"/>
      <c r="L121" s="38"/>
      <c r="M121" s="39" t="s">
        <v>45</v>
      </c>
      <c r="N121" s="26"/>
      <c r="P121" s="255"/>
    </row>
    <row r="122" spans="2:16" ht="18" customHeight="1">
      <c r="E122" s="312"/>
      <c r="P122" s="255"/>
    </row>
    <row r="123" spans="2:16" ht="18" customHeight="1">
      <c r="E123" s="312"/>
      <c r="P123" s="255"/>
    </row>
    <row r="124" spans="2:16" ht="18" customHeight="1">
      <c r="E124" s="312"/>
      <c r="P124" s="255"/>
    </row>
    <row r="125" spans="2:16" ht="18" customHeight="1">
      <c r="E125" s="312"/>
      <c r="P125" s="255"/>
    </row>
    <row r="126" spans="2:16" ht="18" customHeight="1">
      <c r="B126" s="649" t="s">
        <v>200</v>
      </c>
      <c r="C126" s="650"/>
      <c r="D126" s="650"/>
      <c r="E126" s="650"/>
      <c r="F126" s="650"/>
      <c r="G126" s="650"/>
      <c r="H126" s="650"/>
      <c r="I126" s="650"/>
      <c r="J126" s="650"/>
      <c r="K126" s="650"/>
      <c r="L126" s="650"/>
      <c r="M126" s="650"/>
      <c r="N126" s="651"/>
      <c r="P126" s="255"/>
    </row>
    <row r="127" spans="2:16" ht="18" customHeight="1">
      <c r="B127" s="652" t="s">
        <v>830</v>
      </c>
      <c r="C127" s="653"/>
      <c r="D127" s="653"/>
      <c r="E127" s="653"/>
      <c r="F127" s="653"/>
      <c r="G127" s="653"/>
      <c r="H127" s="653"/>
      <c r="I127" s="653"/>
      <c r="J127" s="653"/>
      <c r="K127" s="653"/>
      <c r="L127" s="653"/>
      <c r="M127" s="653"/>
      <c r="N127" s="654"/>
      <c r="P127" s="255"/>
    </row>
    <row r="128" spans="2:16" ht="18" customHeight="1">
      <c r="B128" s="23"/>
      <c r="C128" s="24" t="s">
        <v>0</v>
      </c>
      <c r="D128" s="24"/>
      <c r="E128" s="309"/>
      <c r="N128" s="25"/>
      <c r="P128" s="255"/>
    </row>
    <row r="129" spans="1:16" ht="33.75" customHeight="1" thickBot="1">
      <c r="B129" s="506" t="s">
        <v>1</v>
      </c>
      <c r="C129" s="450" t="s">
        <v>2</v>
      </c>
      <c r="D129" s="450"/>
      <c r="E129" s="451"/>
      <c r="F129" s="450" t="s">
        <v>3</v>
      </c>
      <c r="G129" s="450" t="s">
        <v>4</v>
      </c>
      <c r="H129" s="450" t="s">
        <v>5</v>
      </c>
      <c r="I129" s="450" t="s">
        <v>43</v>
      </c>
      <c r="J129" s="450" t="s">
        <v>544</v>
      </c>
      <c r="K129" s="450" t="s">
        <v>42</v>
      </c>
      <c r="L129" s="450" t="s">
        <v>6</v>
      </c>
      <c r="M129" s="450" t="s">
        <v>7</v>
      </c>
      <c r="N129" s="452" t="s">
        <v>29</v>
      </c>
      <c r="P129" s="255"/>
    </row>
    <row r="130" spans="1:16" ht="18" customHeight="1" thickTop="1">
      <c r="B130" s="29" t="s">
        <v>25</v>
      </c>
      <c r="E130" s="311"/>
      <c r="N130" s="25"/>
      <c r="P130" s="255"/>
    </row>
    <row r="131" spans="1:16" s="569" customFormat="1" ht="35.1" customHeight="1">
      <c r="A131" s="14"/>
      <c r="B131" s="15" t="s">
        <v>369</v>
      </c>
      <c r="C131" s="245" t="s">
        <v>615</v>
      </c>
      <c r="D131" s="7" t="s">
        <v>237</v>
      </c>
      <c r="E131" s="308">
        <f>13768/2</f>
        <v>6884</v>
      </c>
      <c r="F131" s="8">
        <v>7659</v>
      </c>
      <c r="G131" s="8">
        <v>0</v>
      </c>
      <c r="H131" s="8">
        <f>F131</f>
        <v>7659</v>
      </c>
      <c r="I131" s="8"/>
      <c r="J131" s="8"/>
      <c r="K131" s="8">
        <v>915</v>
      </c>
      <c r="L131" s="8">
        <f>K131</f>
        <v>915</v>
      </c>
      <c r="M131" s="8">
        <f t="shared" ref="M131:M135" si="26">H131+I131-L131-J131</f>
        <v>6744</v>
      </c>
      <c r="N131" s="26"/>
      <c r="O131" s="14"/>
      <c r="P131" s="255"/>
    </row>
    <row r="132" spans="1:16" ht="35.1" customHeight="1">
      <c r="B132" s="15" t="s">
        <v>370</v>
      </c>
      <c r="C132" s="3" t="s">
        <v>245</v>
      </c>
      <c r="D132" s="7" t="s">
        <v>239</v>
      </c>
      <c r="E132" s="308">
        <f>6252/2</f>
        <v>3126</v>
      </c>
      <c r="F132" s="8">
        <v>3251</v>
      </c>
      <c r="G132" s="8">
        <v>0</v>
      </c>
      <c r="H132" s="8">
        <f t="shared" ref="H132:H137" si="27">F132</f>
        <v>3251</v>
      </c>
      <c r="I132" s="10"/>
      <c r="J132" s="10"/>
      <c r="K132" s="8">
        <v>90</v>
      </c>
      <c r="L132" s="8">
        <f t="shared" ref="L132:L137" si="28">K132</f>
        <v>90</v>
      </c>
      <c r="M132" s="8">
        <f t="shared" si="26"/>
        <v>3161</v>
      </c>
      <c r="N132" s="8"/>
      <c r="P132" s="255"/>
    </row>
    <row r="133" spans="1:16" ht="35.1" customHeight="1">
      <c r="B133" s="15" t="s">
        <v>371</v>
      </c>
      <c r="C133" s="3" t="s">
        <v>244</v>
      </c>
      <c r="D133" s="7" t="s">
        <v>240</v>
      </c>
      <c r="E133" s="308">
        <f>8102/2</f>
        <v>4051</v>
      </c>
      <c r="F133" s="8">
        <v>4213</v>
      </c>
      <c r="G133" s="8">
        <v>0</v>
      </c>
      <c r="H133" s="8">
        <f t="shared" si="27"/>
        <v>4213</v>
      </c>
      <c r="I133" s="8"/>
      <c r="J133" s="8"/>
      <c r="K133" s="8">
        <v>321</v>
      </c>
      <c r="L133" s="8">
        <f>J133+K133</f>
        <v>321</v>
      </c>
      <c r="M133" s="8">
        <f>H133-L133</f>
        <v>3892</v>
      </c>
      <c r="N133" s="8"/>
      <c r="P133" s="255"/>
    </row>
    <row r="134" spans="1:16" ht="35.1" customHeight="1">
      <c r="B134" s="15" t="s">
        <v>372</v>
      </c>
      <c r="C134" s="3" t="s">
        <v>559</v>
      </c>
      <c r="D134" s="7" t="s">
        <v>232</v>
      </c>
      <c r="E134" s="308">
        <f>7170/2</f>
        <v>3585</v>
      </c>
      <c r="F134" s="8">
        <v>3728</v>
      </c>
      <c r="G134" s="8">
        <v>0</v>
      </c>
      <c r="H134" s="8">
        <f t="shared" si="27"/>
        <v>3728</v>
      </c>
      <c r="I134" s="10"/>
      <c r="J134" s="10"/>
      <c r="K134" s="8">
        <v>269</v>
      </c>
      <c r="L134" s="8">
        <f t="shared" si="28"/>
        <v>269</v>
      </c>
      <c r="M134" s="8">
        <f t="shared" si="26"/>
        <v>3459</v>
      </c>
      <c r="N134" s="8"/>
      <c r="P134" s="255"/>
    </row>
    <row r="135" spans="1:16" ht="35.1" customHeight="1">
      <c r="B135" s="15" t="s">
        <v>373</v>
      </c>
      <c r="C135" s="3" t="s">
        <v>242</v>
      </c>
      <c r="D135" s="7" t="s">
        <v>232</v>
      </c>
      <c r="E135" s="308">
        <f>6280/2</f>
        <v>3140</v>
      </c>
      <c r="F135" s="8">
        <v>3266</v>
      </c>
      <c r="G135" s="8">
        <v>0</v>
      </c>
      <c r="H135" s="8">
        <f t="shared" si="27"/>
        <v>3266</v>
      </c>
      <c r="I135" s="10"/>
      <c r="J135" s="10"/>
      <c r="K135" s="8">
        <v>92</v>
      </c>
      <c r="L135" s="8">
        <f t="shared" si="28"/>
        <v>92</v>
      </c>
      <c r="M135" s="8">
        <f t="shared" si="26"/>
        <v>3174</v>
      </c>
      <c r="N135" s="8"/>
      <c r="P135" s="255"/>
    </row>
    <row r="136" spans="1:16" ht="35.1" customHeight="1">
      <c r="B136" s="15" t="s">
        <v>374</v>
      </c>
      <c r="C136" s="3" t="s">
        <v>550</v>
      </c>
      <c r="D136" s="7" t="s">
        <v>240</v>
      </c>
      <c r="E136" s="308">
        <f>7160/2</f>
        <v>3580</v>
      </c>
      <c r="F136" s="8">
        <v>3723</v>
      </c>
      <c r="G136" s="8">
        <v>0</v>
      </c>
      <c r="H136" s="8">
        <f t="shared" si="27"/>
        <v>3723</v>
      </c>
      <c r="I136" s="10"/>
      <c r="J136" s="10"/>
      <c r="K136" s="8">
        <v>268</v>
      </c>
      <c r="L136" s="8">
        <f t="shared" si="28"/>
        <v>268</v>
      </c>
      <c r="M136" s="8">
        <f t="shared" ref="M136" si="29">H136+I136-L136-J136</f>
        <v>3455</v>
      </c>
      <c r="N136" s="8"/>
      <c r="P136" s="255"/>
    </row>
    <row r="137" spans="1:16" ht="35.1" customHeight="1">
      <c r="B137" s="15" t="s">
        <v>375</v>
      </c>
      <c r="C137" s="3" t="s">
        <v>241</v>
      </c>
      <c r="D137" s="7" t="s">
        <v>240</v>
      </c>
      <c r="E137" s="308">
        <f>7160/2</f>
        <v>3580</v>
      </c>
      <c r="F137" s="8">
        <v>3723</v>
      </c>
      <c r="G137" s="8">
        <v>0</v>
      </c>
      <c r="H137" s="8">
        <f t="shared" si="27"/>
        <v>3723</v>
      </c>
      <c r="I137" s="10"/>
      <c r="J137" s="10"/>
      <c r="K137" s="8">
        <v>268</v>
      </c>
      <c r="L137" s="8">
        <f t="shared" si="28"/>
        <v>268</v>
      </c>
      <c r="M137" s="8">
        <f>H137+I137-L137-J137</f>
        <v>3455</v>
      </c>
      <c r="N137" s="8"/>
      <c r="P137" s="255"/>
    </row>
    <row r="138" spans="1:16" s="20" customFormat="1" ht="18" customHeight="1" thickBot="1">
      <c r="B138" s="27" t="s">
        <v>9</v>
      </c>
      <c r="C138" s="28"/>
      <c r="D138" s="28"/>
      <c r="E138" s="310"/>
      <c r="F138" s="504">
        <f t="shared" ref="F138:M138" si="30">SUM(F131:F137)</f>
        <v>29563</v>
      </c>
      <c r="G138" s="504">
        <f t="shared" si="30"/>
        <v>0</v>
      </c>
      <c r="H138" s="504">
        <f t="shared" si="30"/>
        <v>29563</v>
      </c>
      <c r="I138" s="504">
        <f t="shared" si="30"/>
        <v>0</v>
      </c>
      <c r="J138" s="504">
        <f t="shared" si="30"/>
        <v>0</v>
      </c>
      <c r="K138" s="504">
        <f t="shared" si="30"/>
        <v>2223</v>
      </c>
      <c r="L138" s="504">
        <f t="shared" si="30"/>
        <v>2223</v>
      </c>
      <c r="M138" s="207">
        <f t="shared" si="30"/>
        <v>27340</v>
      </c>
      <c r="N138" s="551"/>
      <c r="O138" s="252">
        <f>H138+I138-L138-J138</f>
        <v>27340</v>
      </c>
      <c r="P138" s="255">
        <f t="shared" ref="P138:P166" si="31">M138-O138</f>
        <v>0</v>
      </c>
    </row>
    <row r="139" spans="1:16" ht="18" customHeight="1" thickTop="1">
      <c r="B139" s="23"/>
      <c r="E139" s="311"/>
      <c r="F139" s="11"/>
      <c r="G139" s="11"/>
      <c r="H139" s="11"/>
      <c r="I139" s="12"/>
      <c r="J139" s="12"/>
      <c r="K139" s="11"/>
      <c r="L139" s="11"/>
      <c r="M139" s="43" t="s">
        <v>45</v>
      </c>
      <c r="N139" s="25"/>
      <c r="P139" s="255"/>
    </row>
    <row r="140" spans="1:16" ht="18" customHeight="1">
      <c r="B140" s="36"/>
      <c r="C140" s="37"/>
      <c r="D140" s="37"/>
      <c r="E140" s="313"/>
      <c r="F140" s="37"/>
      <c r="G140" s="37"/>
      <c r="H140" s="37"/>
      <c r="I140" s="37"/>
      <c r="J140" s="37"/>
      <c r="K140" s="37"/>
      <c r="L140" s="37"/>
      <c r="M140" s="37"/>
      <c r="N140" s="26"/>
      <c r="P140" s="255"/>
    </row>
    <row r="141" spans="1:16" ht="18" customHeight="1">
      <c r="E141" s="312"/>
      <c r="P141" s="255"/>
    </row>
    <row r="142" spans="1:16" ht="18" customHeight="1">
      <c r="E142" s="312"/>
      <c r="P142" s="255"/>
    </row>
    <row r="143" spans="1:16" ht="18" customHeight="1">
      <c r="E143" s="312"/>
      <c r="P143" s="255"/>
    </row>
    <row r="144" spans="1:16" ht="18" customHeight="1">
      <c r="B144" s="649" t="s">
        <v>200</v>
      </c>
      <c r="C144" s="650"/>
      <c r="D144" s="650"/>
      <c r="E144" s="650"/>
      <c r="F144" s="650"/>
      <c r="G144" s="650"/>
      <c r="H144" s="650"/>
      <c r="I144" s="650"/>
      <c r="J144" s="650"/>
      <c r="K144" s="650"/>
      <c r="L144" s="650"/>
      <c r="M144" s="650"/>
      <c r="N144" s="651"/>
      <c r="P144" s="255"/>
    </row>
    <row r="145" spans="2:16" ht="18" customHeight="1">
      <c r="B145" s="652" t="s">
        <v>830</v>
      </c>
      <c r="C145" s="653"/>
      <c r="D145" s="653"/>
      <c r="E145" s="653"/>
      <c r="F145" s="653"/>
      <c r="G145" s="653"/>
      <c r="H145" s="653"/>
      <c r="I145" s="653"/>
      <c r="J145" s="653"/>
      <c r="K145" s="653"/>
      <c r="L145" s="653"/>
      <c r="M145" s="653"/>
      <c r="N145" s="654"/>
      <c r="P145" s="255"/>
    </row>
    <row r="146" spans="2:16" ht="18" customHeight="1">
      <c r="B146" s="23"/>
      <c r="C146" s="24" t="s">
        <v>0</v>
      </c>
      <c r="D146" s="24"/>
      <c r="E146" s="309"/>
      <c r="N146" s="25"/>
      <c r="P146" s="255"/>
    </row>
    <row r="147" spans="2:16" ht="36.75" customHeight="1" thickBot="1">
      <c r="B147" s="506" t="s">
        <v>1</v>
      </c>
      <c r="C147" s="450" t="s">
        <v>2</v>
      </c>
      <c r="D147" s="450"/>
      <c r="E147" s="451"/>
      <c r="F147" s="450" t="s">
        <v>3</v>
      </c>
      <c r="G147" s="450" t="s">
        <v>4</v>
      </c>
      <c r="H147" s="450" t="s">
        <v>5</v>
      </c>
      <c r="I147" s="450" t="s">
        <v>43</v>
      </c>
      <c r="J147" s="450" t="s">
        <v>544</v>
      </c>
      <c r="K147" s="450" t="s">
        <v>42</v>
      </c>
      <c r="L147" s="450" t="s">
        <v>6</v>
      </c>
      <c r="M147" s="450" t="s">
        <v>7</v>
      </c>
      <c r="N147" s="452" t="s">
        <v>29</v>
      </c>
      <c r="P147" s="255"/>
    </row>
    <row r="148" spans="2:16" ht="18" customHeight="1" thickTop="1">
      <c r="B148" s="29" t="s">
        <v>26</v>
      </c>
      <c r="E148" s="311"/>
      <c r="N148" s="25"/>
      <c r="P148" s="255"/>
    </row>
    <row r="149" spans="2:16" ht="30" customHeight="1">
      <c r="B149" s="15" t="s">
        <v>376</v>
      </c>
      <c r="C149" s="3" t="s">
        <v>602</v>
      </c>
      <c r="D149" s="7" t="s">
        <v>246</v>
      </c>
      <c r="E149" s="308">
        <f>6376/2</f>
        <v>3188</v>
      </c>
      <c r="F149" s="8">
        <v>3316</v>
      </c>
      <c r="G149" s="8">
        <v>0</v>
      </c>
      <c r="H149" s="8">
        <f>F149</f>
        <v>3316</v>
      </c>
      <c r="I149" s="10"/>
      <c r="J149" s="10"/>
      <c r="K149" s="8">
        <v>97</v>
      </c>
      <c r="L149" s="8">
        <f>K149</f>
        <v>97</v>
      </c>
      <c r="M149" s="8">
        <f>H149+I149-L149-J149</f>
        <v>3219</v>
      </c>
      <c r="N149" s="26"/>
      <c r="P149" s="255"/>
    </row>
    <row r="150" spans="2:16" ht="30" customHeight="1">
      <c r="B150" s="15" t="s">
        <v>377</v>
      </c>
      <c r="C150" s="3" t="s">
        <v>807</v>
      </c>
      <c r="D150" s="7" t="s">
        <v>247</v>
      </c>
      <c r="E150" s="308">
        <f>10384/2</f>
        <v>5192</v>
      </c>
      <c r="F150" s="8">
        <v>5400</v>
      </c>
      <c r="G150" s="8">
        <v>0</v>
      </c>
      <c r="H150" s="8">
        <f>F150</f>
        <v>5400</v>
      </c>
      <c r="I150" s="8"/>
      <c r="J150" s="8"/>
      <c r="K150" s="8">
        <v>481</v>
      </c>
      <c r="L150" s="8">
        <f>K150</f>
        <v>481</v>
      </c>
      <c r="M150" s="8">
        <f>H150+I150-L150-J150</f>
        <v>4919</v>
      </c>
      <c r="N150" s="25"/>
      <c r="O150" s="627">
        <v>44378</v>
      </c>
      <c r="P150" s="255"/>
    </row>
    <row r="151" spans="2:16" s="20" customFormat="1" ht="30" customHeight="1" thickBot="1">
      <c r="B151" s="27" t="s">
        <v>9</v>
      </c>
      <c r="C151" s="28"/>
      <c r="D151" s="28"/>
      <c r="E151" s="310"/>
      <c r="F151" s="504">
        <f>SUM(F149:F150)</f>
        <v>8716</v>
      </c>
      <c r="G151" s="504">
        <f t="shared" ref="G151:I151" si="32">SUM(G149:G150)</f>
        <v>0</v>
      </c>
      <c r="H151" s="504">
        <f>SUM(H149:H150)</f>
        <v>8716</v>
      </c>
      <c r="I151" s="504">
        <f t="shared" si="32"/>
        <v>0</v>
      </c>
      <c r="J151" s="504">
        <f>SUM(J149:J150)</f>
        <v>0</v>
      </c>
      <c r="K151" s="504">
        <f>SUM(K149:K150)</f>
        <v>578</v>
      </c>
      <c r="L151" s="504">
        <f>SUM(L149:L150)</f>
        <v>578</v>
      </c>
      <c r="M151" s="207">
        <f>SUM(M149:M150)</f>
        <v>8138</v>
      </c>
      <c r="N151" s="547"/>
      <c r="O151" s="252">
        <f>H151+I151-L151</f>
        <v>8138</v>
      </c>
      <c r="P151" s="255">
        <f t="shared" si="31"/>
        <v>0</v>
      </c>
    </row>
    <row r="152" spans="2:16" ht="18" customHeight="1" thickTop="1">
      <c r="B152" s="23"/>
      <c r="E152" s="311"/>
      <c r="F152" s="11"/>
      <c r="G152" s="11"/>
      <c r="H152" s="11"/>
      <c r="I152" s="12"/>
      <c r="J152" s="12"/>
      <c r="K152" s="11"/>
      <c r="L152" s="11"/>
      <c r="M152" s="13" t="s">
        <v>45</v>
      </c>
      <c r="N152" s="25"/>
      <c r="P152" s="255"/>
    </row>
    <row r="153" spans="2:16" ht="18" customHeight="1">
      <c r="B153" s="23"/>
      <c r="E153" s="311"/>
      <c r="N153" s="25"/>
      <c r="P153" s="255"/>
    </row>
    <row r="154" spans="2:16" ht="18" customHeight="1">
      <c r="B154" s="29" t="s">
        <v>526</v>
      </c>
      <c r="E154" s="311"/>
      <c r="N154" s="25"/>
      <c r="P154" s="255"/>
    </row>
    <row r="155" spans="2:16" ht="30" customHeight="1">
      <c r="B155" s="15" t="s">
        <v>378</v>
      </c>
      <c r="C155" s="3" t="s">
        <v>725</v>
      </c>
      <c r="D155" s="7" t="s">
        <v>248</v>
      </c>
      <c r="E155" s="308">
        <f>13508/2</f>
        <v>6754</v>
      </c>
      <c r="F155" s="381">
        <v>7024</v>
      </c>
      <c r="G155" s="21">
        <v>0</v>
      </c>
      <c r="H155" s="21">
        <f>F155</f>
        <v>7024</v>
      </c>
      <c r="I155" s="21"/>
      <c r="J155" s="21">
        <v>0</v>
      </c>
      <c r="K155" s="21">
        <v>780</v>
      </c>
      <c r="L155" s="21">
        <f>K155</f>
        <v>780</v>
      </c>
      <c r="M155" s="21">
        <f>H155+I155-L155-J155</f>
        <v>6244</v>
      </c>
      <c r="N155" s="26"/>
      <c r="O155" s="14" t="s">
        <v>726</v>
      </c>
      <c r="P155" s="255"/>
    </row>
    <row r="156" spans="2:16" s="20" customFormat="1" ht="30" customHeight="1" thickBot="1">
      <c r="B156" s="27" t="s">
        <v>9</v>
      </c>
      <c r="C156" s="28"/>
      <c r="D156" s="28"/>
      <c r="E156" s="310"/>
      <c r="F156" s="550">
        <f>SUM(F155)</f>
        <v>7024</v>
      </c>
      <c r="G156" s="550">
        <f t="shared" ref="G156:M156" si="33">SUM(G155)</f>
        <v>0</v>
      </c>
      <c r="H156" s="550">
        <f>SUM(H155)</f>
        <v>7024</v>
      </c>
      <c r="I156" s="550">
        <f t="shared" si="33"/>
        <v>0</v>
      </c>
      <c r="J156" s="550">
        <f>SUM(J155)</f>
        <v>0</v>
      </c>
      <c r="K156" s="550">
        <f>SUM(K155)</f>
        <v>780</v>
      </c>
      <c r="L156" s="550">
        <f>SUM(L155)</f>
        <v>780</v>
      </c>
      <c r="M156" s="532">
        <f t="shared" si="33"/>
        <v>6244</v>
      </c>
      <c r="N156" s="549"/>
      <c r="O156" s="255">
        <f>H156+I156-L156</f>
        <v>6244</v>
      </c>
      <c r="P156" s="255">
        <f t="shared" si="31"/>
        <v>0</v>
      </c>
    </row>
    <row r="157" spans="2:16" ht="18" customHeight="1" thickTop="1">
      <c r="B157" s="23"/>
      <c r="E157" s="311"/>
      <c r="F157" s="11"/>
      <c r="G157" s="11"/>
      <c r="H157" s="11"/>
      <c r="I157" s="11"/>
      <c r="J157" s="11"/>
      <c r="K157" s="11"/>
      <c r="L157" s="11"/>
      <c r="M157" s="13" t="s">
        <v>45</v>
      </c>
      <c r="N157" s="25"/>
      <c r="P157" s="255"/>
    </row>
    <row r="158" spans="2:16" ht="18" customHeight="1">
      <c r="B158" s="23"/>
      <c r="E158" s="311"/>
      <c r="F158" s="11"/>
      <c r="G158" s="11"/>
      <c r="H158" s="11"/>
      <c r="I158" s="11"/>
      <c r="J158" s="11"/>
      <c r="K158" s="11"/>
      <c r="L158" s="11"/>
      <c r="M158" s="13"/>
      <c r="N158" s="25"/>
      <c r="P158" s="255"/>
    </row>
    <row r="159" spans="2:16" ht="18" customHeight="1">
      <c r="B159" s="649" t="s">
        <v>200</v>
      </c>
      <c r="C159" s="650"/>
      <c r="D159" s="650"/>
      <c r="E159" s="650"/>
      <c r="F159" s="650"/>
      <c r="G159" s="650"/>
      <c r="H159" s="650"/>
      <c r="I159" s="650"/>
      <c r="J159" s="650"/>
      <c r="K159" s="650"/>
      <c r="L159" s="650"/>
      <c r="M159" s="650"/>
      <c r="N159" s="651"/>
      <c r="P159" s="255"/>
    </row>
    <row r="160" spans="2:16" ht="18" customHeight="1">
      <c r="B160" s="652" t="s">
        <v>831</v>
      </c>
      <c r="C160" s="653"/>
      <c r="D160" s="653"/>
      <c r="E160" s="653"/>
      <c r="F160" s="653"/>
      <c r="G160" s="653"/>
      <c r="H160" s="653"/>
      <c r="I160" s="653"/>
      <c r="J160" s="653"/>
      <c r="K160" s="653"/>
      <c r="L160" s="653"/>
      <c r="M160" s="653"/>
      <c r="N160" s="654"/>
      <c r="P160" s="255"/>
    </row>
    <row r="161" spans="1:79" ht="18" customHeight="1">
      <c r="B161" s="23"/>
      <c r="C161" s="24" t="s">
        <v>0</v>
      </c>
      <c r="D161" s="24"/>
      <c r="E161" s="309"/>
      <c r="N161" s="25"/>
      <c r="P161" s="255"/>
    </row>
    <row r="162" spans="1:79" ht="18" customHeight="1">
      <c r="B162" s="23"/>
      <c r="N162" s="25"/>
      <c r="P162" s="255"/>
    </row>
    <row r="163" spans="1:79" ht="18" customHeight="1">
      <c r="B163" s="29" t="s">
        <v>720</v>
      </c>
      <c r="E163" s="311"/>
      <c r="N163" s="25"/>
      <c r="P163" s="255"/>
    </row>
    <row r="164" spans="1:79" s="569" customFormat="1" ht="18" customHeight="1">
      <c r="A164" s="570"/>
      <c r="B164" s="15" t="s">
        <v>379</v>
      </c>
      <c r="C164" s="3" t="s">
        <v>716</v>
      </c>
      <c r="D164" s="7" t="s">
        <v>227</v>
      </c>
      <c r="E164" s="308">
        <f>12210/2</f>
        <v>6105</v>
      </c>
      <c r="F164" s="8">
        <v>6349</v>
      </c>
      <c r="G164" s="8">
        <v>0</v>
      </c>
      <c r="H164" s="8">
        <f>F164</f>
        <v>6349</v>
      </c>
      <c r="I164" s="8"/>
      <c r="J164" s="8"/>
      <c r="K164" s="8">
        <v>647</v>
      </c>
      <c r="L164" s="8">
        <f>K164</f>
        <v>647</v>
      </c>
      <c r="M164" s="8">
        <f>H164+I164-L164-J164</f>
        <v>5702</v>
      </c>
      <c r="N164" s="582"/>
      <c r="O164" s="14"/>
      <c r="P164" s="255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</row>
    <row r="165" spans="1:79" s="569" customFormat="1" ht="18" customHeight="1">
      <c r="A165" s="570"/>
      <c r="B165" s="15"/>
      <c r="C165" s="3"/>
      <c r="D165" s="7"/>
      <c r="E165" s="308"/>
      <c r="F165" s="8"/>
      <c r="G165" s="8"/>
      <c r="H165" s="8"/>
      <c r="I165" s="8"/>
      <c r="J165" s="8"/>
      <c r="K165" s="8"/>
      <c r="L165" s="8"/>
      <c r="M165" s="8"/>
      <c r="N165" s="381"/>
      <c r="O165" s="14"/>
      <c r="P165" s="255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</row>
    <row r="166" spans="1:79" ht="18" customHeight="1" thickBot="1">
      <c r="B166" s="27" t="s">
        <v>9</v>
      </c>
      <c r="C166" s="28"/>
      <c r="D166" s="28"/>
      <c r="E166" s="310"/>
      <c r="F166" s="504">
        <f>SUM(F164:F165)</f>
        <v>6349</v>
      </c>
      <c r="G166" s="504">
        <f t="shared" ref="G166:I166" si="34">SUM(G164:G164)</f>
        <v>0</v>
      </c>
      <c r="H166" s="504">
        <f>SUM(H164:H165)</f>
        <v>6349</v>
      </c>
      <c r="I166" s="504">
        <f t="shared" si="34"/>
        <v>0</v>
      </c>
      <c r="J166" s="504">
        <f>SUM(J164)</f>
        <v>0</v>
      </c>
      <c r="K166" s="504">
        <f>SUM(K164:K165)</f>
        <v>647</v>
      </c>
      <c r="L166" s="504">
        <f>SUM(L164:L165)</f>
        <v>647</v>
      </c>
      <c r="M166" s="207">
        <f>SUM(M164:M165)</f>
        <v>5702</v>
      </c>
      <c r="N166" s="549"/>
      <c r="O166" s="251">
        <f>H166+I166-L166</f>
        <v>5702</v>
      </c>
      <c r="P166" s="255">
        <f t="shared" si="31"/>
        <v>0</v>
      </c>
    </row>
    <row r="167" spans="1:79" ht="18" customHeight="1" thickTop="1">
      <c r="B167" s="36"/>
      <c r="C167" s="37"/>
      <c r="D167" s="37"/>
      <c r="E167" s="313"/>
      <c r="F167" s="38"/>
      <c r="G167" s="38"/>
      <c r="H167" s="38"/>
      <c r="I167" s="40"/>
      <c r="J167" s="40"/>
      <c r="K167" s="38"/>
      <c r="L167" s="38"/>
      <c r="M167" s="39" t="s">
        <v>45</v>
      </c>
      <c r="N167" s="26"/>
      <c r="P167" s="255"/>
    </row>
    <row r="168" spans="1:79" ht="18" customHeight="1">
      <c r="B168" s="23"/>
      <c r="C168" s="24" t="s">
        <v>0</v>
      </c>
      <c r="D168" s="24"/>
      <c r="E168" s="309"/>
      <c r="N168" s="25"/>
      <c r="P168" s="255"/>
    </row>
    <row r="169" spans="1:79" ht="36.75" customHeight="1" thickBot="1">
      <c r="B169" s="506" t="s">
        <v>1</v>
      </c>
      <c r="C169" s="450" t="s">
        <v>2</v>
      </c>
      <c r="D169" s="450"/>
      <c r="E169" s="451"/>
      <c r="F169" s="450" t="s">
        <v>3</v>
      </c>
      <c r="G169" s="450" t="s">
        <v>4</v>
      </c>
      <c r="H169" s="450" t="s">
        <v>5</v>
      </c>
      <c r="I169" s="450" t="s">
        <v>43</v>
      </c>
      <c r="J169" s="450" t="s">
        <v>544</v>
      </c>
      <c r="K169" s="450" t="s">
        <v>42</v>
      </c>
      <c r="L169" s="450" t="s">
        <v>6</v>
      </c>
      <c r="M169" s="450" t="s">
        <v>7</v>
      </c>
      <c r="N169" s="452" t="s">
        <v>29</v>
      </c>
      <c r="P169" s="255"/>
    </row>
    <row r="170" spans="1:79" ht="18" customHeight="1" thickTop="1">
      <c r="B170" s="29" t="s">
        <v>721</v>
      </c>
      <c r="E170" s="316"/>
      <c r="N170" s="25"/>
      <c r="P170" s="255"/>
    </row>
    <row r="171" spans="1:79" ht="30" customHeight="1">
      <c r="B171" s="15" t="s">
        <v>380</v>
      </c>
      <c r="C171" s="3" t="s">
        <v>560</v>
      </c>
      <c r="D171" s="7" t="s">
        <v>227</v>
      </c>
      <c r="E171" s="308">
        <f>10384/2</f>
        <v>5192</v>
      </c>
      <c r="F171" s="8">
        <v>5400</v>
      </c>
      <c r="G171" s="8">
        <v>0</v>
      </c>
      <c r="H171" s="8">
        <f>F171</f>
        <v>5400</v>
      </c>
      <c r="I171" s="8"/>
      <c r="J171" s="8"/>
      <c r="K171" s="8">
        <v>481</v>
      </c>
      <c r="L171" s="8">
        <f>K171</f>
        <v>481</v>
      </c>
      <c r="M171" s="8">
        <f>H171+I171-L171-J171</f>
        <v>4919</v>
      </c>
      <c r="N171" s="602"/>
      <c r="P171" s="255"/>
    </row>
    <row r="172" spans="1:79" s="20" customFormat="1" ht="30" customHeight="1" thickBot="1">
      <c r="B172" s="27" t="s">
        <v>9</v>
      </c>
      <c r="C172" s="28"/>
      <c r="D172" s="28"/>
      <c r="E172" s="314"/>
      <c r="F172" s="548">
        <f>SUM(F171)</f>
        <v>5400</v>
      </c>
      <c r="G172" s="548">
        <f t="shared" ref="G172:I172" si="35">SUM(G171)</f>
        <v>0</v>
      </c>
      <c r="H172" s="548">
        <f>SUM(H171)</f>
        <v>5400</v>
      </c>
      <c r="I172" s="548">
        <f t="shared" si="35"/>
        <v>0</v>
      </c>
      <c r="J172" s="548">
        <f>SUM(J171)</f>
        <v>0</v>
      </c>
      <c r="K172" s="548">
        <f>SUM(K171)</f>
        <v>481</v>
      </c>
      <c r="L172" s="548">
        <f>SUM(L171)</f>
        <v>481</v>
      </c>
      <c r="M172" s="533">
        <f>SUM(M171)</f>
        <v>4919</v>
      </c>
      <c r="N172" s="547"/>
      <c r="O172" s="252">
        <f>H172+I172-L172</f>
        <v>4919</v>
      </c>
      <c r="P172" s="255">
        <f t="shared" ref="P172" si="36">M172-O172</f>
        <v>0</v>
      </c>
    </row>
    <row r="173" spans="1:79" ht="18" customHeight="1" thickTop="1">
      <c r="B173" s="23"/>
      <c r="E173" s="316"/>
      <c r="F173" s="11"/>
      <c r="G173" s="11"/>
      <c r="H173" s="11"/>
      <c r="I173" s="11"/>
      <c r="J173" s="11"/>
      <c r="K173" s="11"/>
      <c r="L173" s="11"/>
      <c r="M173" s="11"/>
      <c r="N173" s="25"/>
      <c r="P173" s="255"/>
    </row>
    <row r="174" spans="1:79" ht="18" customHeight="1">
      <c r="B174" s="23"/>
      <c r="C174" s="24" t="s">
        <v>0</v>
      </c>
      <c r="D174" s="24"/>
      <c r="E174" s="309"/>
      <c r="N174" s="25"/>
      <c r="P174" s="255"/>
    </row>
    <row r="175" spans="1:79" ht="36.75" customHeight="1" thickBot="1">
      <c r="B175" s="506" t="s">
        <v>1</v>
      </c>
      <c r="C175" s="450" t="s">
        <v>2</v>
      </c>
      <c r="D175" s="450"/>
      <c r="E175" s="451"/>
      <c r="F175" s="450" t="s">
        <v>3</v>
      </c>
      <c r="G175" s="450" t="s">
        <v>4</v>
      </c>
      <c r="H175" s="450" t="s">
        <v>5</v>
      </c>
      <c r="I175" s="450" t="s">
        <v>43</v>
      </c>
      <c r="J175" s="450" t="s">
        <v>544</v>
      </c>
      <c r="K175" s="450" t="s">
        <v>42</v>
      </c>
      <c r="L175" s="450" t="s">
        <v>6</v>
      </c>
      <c r="M175" s="450" t="s">
        <v>7</v>
      </c>
      <c r="N175" s="452" t="s">
        <v>29</v>
      </c>
      <c r="P175" s="255"/>
    </row>
    <row r="176" spans="1:79" s="20" customFormat="1" ht="18.75" customHeight="1" thickTop="1">
      <c r="B176" s="29" t="s">
        <v>722</v>
      </c>
      <c r="C176" s="14"/>
      <c r="D176" s="14"/>
      <c r="E176" s="316"/>
      <c r="F176" s="14"/>
      <c r="G176" s="14"/>
      <c r="H176" s="14"/>
      <c r="I176" s="14"/>
      <c r="J176" s="14"/>
      <c r="K176" s="14"/>
      <c r="L176" s="14"/>
      <c r="M176" s="14"/>
      <c r="N176" s="35"/>
      <c r="P176" s="255"/>
    </row>
    <row r="177" spans="1:17" s="20" customFormat="1" ht="18.75" customHeight="1">
      <c r="B177" s="15" t="s">
        <v>381</v>
      </c>
      <c r="C177" s="214" t="s">
        <v>421</v>
      </c>
      <c r="D177" s="7" t="s">
        <v>521</v>
      </c>
      <c r="E177" s="317">
        <f>12210/2</f>
        <v>6105</v>
      </c>
      <c r="F177" s="381">
        <v>8600</v>
      </c>
      <c r="G177" s="21">
        <v>0</v>
      </c>
      <c r="H177" s="21">
        <f>F177</f>
        <v>8600</v>
      </c>
      <c r="I177" s="21"/>
      <c r="J177" s="381"/>
      <c r="K177" s="21">
        <v>1116</v>
      </c>
      <c r="L177" s="21">
        <f>J177+K177</f>
        <v>1116</v>
      </c>
      <c r="M177" s="21">
        <f>H177-L177</f>
        <v>7484</v>
      </c>
      <c r="N177" s="35"/>
      <c r="P177" s="255"/>
    </row>
    <row r="178" spans="1:17" s="20" customFormat="1" ht="18.75" customHeight="1">
      <c r="B178" s="29"/>
      <c r="C178" s="14"/>
      <c r="D178" s="14"/>
      <c r="E178" s="316"/>
      <c r="F178" s="545">
        <f>F177</f>
        <v>8600</v>
      </c>
      <c r="G178" s="546">
        <f>SUM(G177)</f>
        <v>0</v>
      </c>
      <c r="H178" s="545">
        <f>SUM(H177)</f>
        <v>8600</v>
      </c>
      <c r="I178" s="545">
        <f t="shared" ref="I178:L178" si="37">SUM(I177)</f>
        <v>0</v>
      </c>
      <c r="J178" s="545">
        <f>SUM(J177)</f>
        <v>0</v>
      </c>
      <c r="K178" s="545">
        <f>SUM(K177)</f>
        <v>1116</v>
      </c>
      <c r="L178" s="545">
        <f t="shared" si="37"/>
        <v>1116</v>
      </c>
      <c r="M178" s="534">
        <f>M177</f>
        <v>7484</v>
      </c>
      <c r="N178" s="547"/>
      <c r="O178" s="255">
        <f>H178+I178-L178</f>
        <v>7484</v>
      </c>
      <c r="P178" s="255">
        <f>M178-O178</f>
        <v>0</v>
      </c>
      <c r="Q178" s="255"/>
    </row>
    <row r="179" spans="1:17" s="20" customFormat="1" ht="18.75" customHeight="1">
      <c r="B179" s="23"/>
      <c r="C179" s="24" t="s">
        <v>0</v>
      </c>
      <c r="D179" s="24"/>
      <c r="E179" s="309"/>
      <c r="F179" s="14"/>
      <c r="G179" s="14"/>
      <c r="H179" s="14"/>
      <c r="I179" s="14"/>
      <c r="J179" s="14"/>
      <c r="K179" s="14"/>
      <c r="L179" s="14"/>
      <c r="M179" s="14"/>
      <c r="N179" s="25"/>
      <c r="O179" s="255"/>
      <c r="P179" s="255"/>
      <c r="Q179" s="255"/>
    </row>
    <row r="180" spans="1:17" s="20" customFormat="1" ht="42.75" customHeight="1" thickBot="1">
      <c r="B180" s="506" t="s">
        <v>1</v>
      </c>
      <c r="C180" s="450" t="s">
        <v>2</v>
      </c>
      <c r="D180" s="450"/>
      <c r="E180" s="451"/>
      <c r="F180" s="450" t="s">
        <v>3</v>
      </c>
      <c r="G180" s="450" t="s">
        <v>4</v>
      </c>
      <c r="H180" s="450" t="s">
        <v>5</v>
      </c>
      <c r="I180" s="450" t="s">
        <v>43</v>
      </c>
      <c r="J180" s="450" t="s">
        <v>544</v>
      </c>
      <c r="K180" s="450" t="s">
        <v>42</v>
      </c>
      <c r="L180" s="450" t="s">
        <v>6</v>
      </c>
      <c r="M180" s="450" t="s">
        <v>7</v>
      </c>
      <c r="N180" s="452" t="s">
        <v>29</v>
      </c>
      <c r="O180" s="255"/>
      <c r="P180" s="255"/>
      <c r="Q180" s="255"/>
    </row>
    <row r="181" spans="1:17" s="20" customFormat="1" ht="18.75" customHeight="1" thickTop="1">
      <c r="B181" s="670" t="s">
        <v>723</v>
      </c>
      <c r="C181" s="671"/>
      <c r="D181" s="263"/>
      <c r="E181" s="318"/>
      <c r="F181" s="263"/>
      <c r="G181" s="264"/>
      <c r="H181" s="264"/>
      <c r="I181" s="263"/>
      <c r="J181" s="263"/>
      <c r="K181" s="263"/>
      <c r="L181" s="264"/>
      <c r="M181" s="265"/>
      <c r="N181" s="266"/>
      <c r="O181" s="255"/>
      <c r="P181" s="255"/>
      <c r="Q181" s="255"/>
    </row>
    <row r="182" spans="1:17" s="20" customFormat="1" ht="18.75" customHeight="1">
      <c r="B182" s="15" t="s">
        <v>719</v>
      </c>
      <c r="C182" s="245" t="s">
        <v>804</v>
      </c>
      <c r="D182" s="269" t="s">
        <v>187</v>
      </c>
      <c r="E182" s="319">
        <f>10384/2</f>
        <v>5192</v>
      </c>
      <c r="F182" s="267">
        <v>5400</v>
      </c>
      <c r="G182" s="3">
        <v>0</v>
      </c>
      <c r="H182" s="267">
        <f>F182</f>
        <v>5400</v>
      </c>
      <c r="I182" s="3"/>
      <c r="J182" s="3"/>
      <c r="K182" s="3">
        <v>481</v>
      </c>
      <c r="L182" s="3">
        <f>K182</f>
        <v>481</v>
      </c>
      <c r="M182" s="267">
        <f>F182-L182-J182</f>
        <v>4919</v>
      </c>
      <c r="N182" s="268"/>
      <c r="O182" s="626" t="s">
        <v>805</v>
      </c>
    </row>
    <row r="183" spans="1:17" s="20" customFormat="1" ht="18.75" customHeight="1" thickBot="1">
      <c r="B183" s="529"/>
      <c r="C183" s="236"/>
      <c r="D183" s="236"/>
      <c r="E183" s="530"/>
      <c r="F183" s="542">
        <f>F182</f>
        <v>5400</v>
      </c>
      <c r="G183" s="538">
        <f>SUM(G182)</f>
        <v>0</v>
      </c>
      <c r="H183" s="542">
        <f>H182</f>
        <v>5400</v>
      </c>
      <c r="I183" s="538"/>
      <c r="J183" s="543">
        <f>SUM(J182)</f>
        <v>0</v>
      </c>
      <c r="K183" s="538">
        <f>K182</f>
        <v>481</v>
      </c>
      <c r="L183" s="538">
        <f>L182</f>
        <v>481</v>
      </c>
      <c r="M183" s="535">
        <f>M182</f>
        <v>4919</v>
      </c>
      <c r="N183" s="544"/>
      <c r="O183" s="255">
        <f>M183</f>
        <v>4919</v>
      </c>
    </row>
    <row r="184" spans="1:17" s="20" customFormat="1" ht="18.75" customHeight="1" thickTop="1">
      <c r="B184" s="29"/>
      <c r="C184"/>
      <c r="D184"/>
      <c r="E184" s="320"/>
      <c r="F184" s="250"/>
      <c r="G184" s="14"/>
      <c r="H184" s="250"/>
      <c r="I184" s="14"/>
      <c r="J184" s="401"/>
      <c r="K184" s="14"/>
      <c r="L184" s="14"/>
      <c r="M184" s="250"/>
      <c r="N184" s="35"/>
      <c r="O184" s="255"/>
    </row>
    <row r="185" spans="1:17" s="20" customFormat="1" ht="18.75" customHeight="1">
      <c r="B185" s="29"/>
      <c r="C185"/>
      <c r="D185"/>
      <c r="E185" s="320"/>
      <c r="F185" s="250"/>
      <c r="G185" s="14"/>
      <c r="H185" s="250"/>
      <c r="I185" s="14"/>
      <c r="J185" s="401"/>
      <c r="K185" s="14"/>
      <c r="L185" s="14"/>
      <c r="M185" s="250"/>
      <c r="N185" s="35"/>
      <c r="O185" s="255"/>
    </row>
    <row r="186" spans="1:17" ht="30" customHeight="1" thickBot="1">
      <c r="B186" s="672" t="s">
        <v>27</v>
      </c>
      <c r="C186" s="673"/>
      <c r="D186" s="538"/>
      <c r="E186" s="539"/>
      <c r="F186" s="540">
        <f>F9+F14+F18+F24+F34+F39+F46+F52+F62+F69+F74+F91+F96+F101+F114+F120+F138+F151+F156+F166+F172+F178+F183</f>
        <v>285289.73</v>
      </c>
      <c r="G186" s="540">
        <f>G9+G14+G18+G24+G34+G39+G46+G52+G62+G69+G74+G91+G96+G101+G114+G120+G138+G151+G156+G166+G172</f>
        <v>0</v>
      </c>
      <c r="H186" s="540">
        <f>H9+H14+H18+H24+H34+H39+H46+H52+H62+H69+H74+H91+H96+H101+H114+H120+H138+H151+H156+H166+H172+H178+H183</f>
        <v>285289.73</v>
      </c>
      <c r="I186" s="540">
        <f>I9+I14+I18+I24+I34+I39+I46+I52+I62+I69+I74+I91+I96+I101+I114+I120+I138+I151+I156+I166+I172+I178+I183</f>
        <v>24.04</v>
      </c>
      <c r="J186" s="540">
        <f>J183+J178+J172+J166+J156+J151+J138+J120+J114+J101+J96+J91+J74+J69+J62+J52+J46+J39+J34+J24+J18+J14+J9</f>
        <v>0</v>
      </c>
      <c r="K186" s="540">
        <f>K9+K14+K18+K24+K34+K39+K46+K52+K62+K69+K74+K91+K96+K101+K114+K120+K138+K151+K156+K166+K172+K178+K183</f>
        <v>29286.86</v>
      </c>
      <c r="L186" s="540">
        <f>L9+L14+L18+L24+L34+L39+L46+L52+L62+L69+L74+L91+L96+L101+L114+L120+L138+L151+L156+L166+L172+L178+L183</f>
        <v>29286.86</v>
      </c>
      <c r="M186" s="505">
        <f>M9+M14+M18+M24+M34+M39+M46+M52+M62+M69+M74+M91+M96+M101+M114+M120+M138+M151+M156+M166+M172+M178+M183</f>
        <v>256026.91</v>
      </c>
      <c r="N186" s="541"/>
    </row>
    <row r="187" spans="1:17" ht="12" thickTop="1">
      <c r="B187" s="23"/>
      <c r="E187" s="316"/>
      <c r="M187" s="210"/>
      <c r="N187" s="25"/>
    </row>
    <row r="188" spans="1:17">
      <c r="B188" s="23"/>
      <c r="E188" s="316"/>
      <c r="N188" s="25"/>
    </row>
    <row r="189" spans="1:17">
      <c r="A189" s="25"/>
      <c r="C189" s="37"/>
      <c r="E189" s="316"/>
      <c r="F189" s="37" t="s">
        <v>28</v>
      </c>
      <c r="G189" s="37" t="s">
        <v>28</v>
      </c>
      <c r="H189" s="37"/>
      <c r="K189" s="14" t="s">
        <v>28</v>
      </c>
      <c r="L189" s="37" t="s">
        <v>28</v>
      </c>
      <c r="M189" s="37" t="s">
        <v>28</v>
      </c>
      <c r="N189" s="25"/>
    </row>
    <row r="190" spans="1:17" ht="12.75">
      <c r="B190" s="660" t="s">
        <v>738</v>
      </c>
      <c r="C190" s="661"/>
      <c r="D190" s="42"/>
      <c r="E190" s="321"/>
      <c r="F190" s="661" t="s">
        <v>783</v>
      </c>
      <c r="G190" s="661"/>
      <c r="H190" s="661"/>
      <c r="I190" s="145"/>
      <c r="J190" s="145"/>
      <c r="K190" s="44"/>
      <c r="L190" s="657" t="s">
        <v>673</v>
      </c>
      <c r="M190" s="657"/>
      <c r="N190" s="25"/>
    </row>
    <row r="191" spans="1:17">
      <c r="B191" s="662" t="s">
        <v>410</v>
      </c>
      <c r="C191" s="663"/>
      <c r="D191" s="45"/>
      <c r="E191" s="322"/>
      <c r="F191" s="663" t="s">
        <v>410</v>
      </c>
      <c r="G191" s="663"/>
      <c r="H191" s="663"/>
      <c r="I191" s="37"/>
      <c r="J191" s="45"/>
      <c r="K191" s="37"/>
      <c r="L191" s="663" t="s">
        <v>409</v>
      </c>
      <c r="M191" s="663"/>
      <c r="N191" s="26"/>
    </row>
    <row r="195" spans="3:15">
      <c r="C195" s="298"/>
    </row>
    <row r="196" spans="3:15">
      <c r="F196" s="250">
        <f>SUM(F178+F172+F166+F156+F151+F138+F120+F101+F96+F114+F91+F74+F69+F62+F52+F46+F39+F34+F24+F18+F14+F9+F183)</f>
        <v>285289.73</v>
      </c>
      <c r="K196" s="251">
        <f>H186+I186-L186</f>
        <v>256026.90999999997</v>
      </c>
      <c r="L196" s="251"/>
      <c r="M196" s="11">
        <f>F186+I186-L186</f>
        <v>256026.90999999997</v>
      </c>
      <c r="O196" s="258">
        <f>SUM(O7:O191)</f>
        <v>300404.91000000003</v>
      </c>
    </row>
    <row r="197" spans="3:15">
      <c r="F197" s="425">
        <f>F186-H186</f>
        <v>0</v>
      </c>
      <c r="K197" s="425">
        <f>M186-K196</f>
        <v>0</v>
      </c>
      <c r="M197" s="426">
        <f>M186-M196</f>
        <v>0</v>
      </c>
    </row>
    <row r="198" spans="3:15">
      <c r="H198" s="250"/>
      <c r="M198" s="272">
        <f>SUM(M196:M197)</f>
        <v>256026.90999999997</v>
      </c>
    </row>
    <row r="199" spans="3:15">
      <c r="M199" s="251"/>
    </row>
    <row r="200" spans="3:15">
      <c r="M200" s="251"/>
    </row>
  </sheetData>
  <mergeCells count="26">
    <mergeCell ref="B127:N127"/>
    <mergeCell ref="B144:N144"/>
    <mergeCell ref="L191:M191"/>
    <mergeCell ref="B181:C181"/>
    <mergeCell ref="L190:M190"/>
    <mergeCell ref="B159:N159"/>
    <mergeCell ref="B160:N160"/>
    <mergeCell ref="B186:C186"/>
    <mergeCell ref="F191:H191"/>
    <mergeCell ref="F190:H190"/>
    <mergeCell ref="C1:I1"/>
    <mergeCell ref="B190:C190"/>
    <mergeCell ref="B191:C191"/>
    <mergeCell ref="B2:N2"/>
    <mergeCell ref="B3:N3"/>
    <mergeCell ref="C26:I26"/>
    <mergeCell ref="B27:N27"/>
    <mergeCell ref="B28:N28"/>
    <mergeCell ref="B55:N55"/>
    <mergeCell ref="B56:N56"/>
    <mergeCell ref="B79:N79"/>
    <mergeCell ref="B80:N80"/>
    <mergeCell ref="B145:N145"/>
    <mergeCell ref="B104:N104"/>
    <mergeCell ref="B105:N105"/>
    <mergeCell ref="B126:N126"/>
  </mergeCells>
  <printOptions horizontalCentered="1"/>
  <pageMargins left="0.70866141732283472" right="0.70866141732283472" top="0.35433070866141736" bottom="0.55118110236220474" header="0.31496062992125984" footer="0.31496062992125984"/>
  <pageSetup paperSize="5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54"/>
  <sheetViews>
    <sheetView tabSelected="1" topLeftCell="B1" zoomScale="98" zoomScaleNormal="98" workbookViewId="0">
      <selection activeCell="I11" sqref="I11"/>
    </sheetView>
  </sheetViews>
  <sheetFormatPr baseColWidth="10" defaultRowHeight="11.25"/>
  <cols>
    <col min="1" max="1" width="8" style="99" customWidth="1"/>
    <col min="2" max="2" width="7.140625" style="99" customWidth="1"/>
    <col min="3" max="3" width="10.7109375" style="99" customWidth="1"/>
    <col min="4" max="4" width="9.85546875" style="99" customWidth="1"/>
    <col min="5" max="5" width="18.85546875" style="99" customWidth="1"/>
    <col min="6" max="6" width="11.28515625" style="99" bestFit="1" customWidth="1"/>
    <col min="7" max="7" width="9.140625" style="99" hidden="1" customWidth="1"/>
    <col min="8" max="8" width="5.140625" style="99" customWidth="1"/>
    <col min="9" max="9" width="13.42578125" style="99" customWidth="1"/>
    <col min="10" max="10" width="5.85546875" style="99" hidden="1" customWidth="1"/>
    <col min="11" max="11" width="13.28515625" style="99" customWidth="1"/>
    <col min="12" max="12" width="10.7109375" style="99" customWidth="1"/>
    <col min="13" max="13" width="11.5703125" style="99" customWidth="1"/>
    <col min="14" max="14" width="13" style="99" customWidth="1"/>
    <col min="15" max="15" width="12" style="99" customWidth="1"/>
    <col min="16" max="16" width="13.140625" style="99" customWidth="1"/>
    <col min="17" max="17" width="29.5703125" style="99" customWidth="1"/>
    <col min="18" max="18" width="25.85546875" style="99" customWidth="1"/>
    <col min="19" max="19" width="23.42578125" style="99" customWidth="1"/>
    <col min="20" max="20" width="20.140625" style="99" customWidth="1"/>
    <col min="21" max="22" width="11.42578125" style="99" customWidth="1"/>
    <col min="23" max="16384" width="11.42578125" style="99"/>
  </cols>
  <sheetData>
    <row r="1" spans="2:22" ht="12">
      <c r="B1" s="619"/>
      <c r="C1" s="619"/>
      <c r="D1" s="619"/>
      <c r="E1" s="620"/>
      <c r="F1" s="37"/>
      <c r="G1" s="621"/>
      <c r="H1" s="622"/>
      <c r="I1" s="623"/>
      <c r="J1" s="623"/>
      <c r="K1" s="623"/>
      <c r="L1" s="623"/>
      <c r="M1" s="623"/>
      <c r="N1" s="623"/>
      <c r="O1" s="623"/>
      <c r="P1" s="623"/>
      <c r="Q1" s="54"/>
    </row>
    <row r="2" spans="2:22">
      <c r="B2" s="100"/>
      <c r="Q2" s="101"/>
    </row>
    <row r="3" spans="2:22" ht="19.5">
      <c r="B3" s="681" t="s">
        <v>200</v>
      </c>
      <c r="C3" s="682"/>
      <c r="D3" s="682"/>
      <c r="E3" s="682"/>
      <c r="F3" s="682"/>
      <c r="G3" s="682"/>
      <c r="H3" s="682"/>
      <c r="I3" s="682"/>
      <c r="J3" s="682"/>
      <c r="K3" s="682"/>
      <c r="L3" s="682"/>
      <c r="M3" s="682"/>
      <c r="N3" s="682"/>
      <c r="O3" s="682"/>
      <c r="P3" s="682"/>
      <c r="Q3" s="683"/>
    </row>
    <row r="4" spans="2:22" ht="17.25">
      <c r="B4" s="684" t="s">
        <v>832</v>
      </c>
      <c r="C4" s="685"/>
      <c r="D4" s="685"/>
      <c r="E4" s="685"/>
      <c r="F4" s="685"/>
      <c r="G4" s="685"/>
      <c r="H4" s="685"/>
      <c r="I4" s="685"/>
      <c r="J4" s="685"/>
      <c r="K4" s="685"/>
      <c r="L4" s="685"/>
      <c r="M4" s="685"/>
      <c r="N4" s="685"/>
      <c r="O4" s="685"/>
      <c r="P4" s="685"/>
      <c r="Q4" s="686"/>
    </row>
    <row r="5" spans="2:22">
      <c r="B5" s="100"/>
      <c r="Q5" s="101"/>
    </row>
    <row r="6" spans="2:22">
      <c r="B6" s="100"/>
      <c r="Q6" s="101"/>
    </row>
    <row r="7" spans="2:22" ht="12.75">
      <c r="B7" s="102"/>
      <c r="C7" s="53" t="s">
        <v>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103"/>
    </row>
    <row r="8" spans="2:22" s="104" customFormat="1" ht="12" customHeight="1">
      <c r="B8" s="453" t="s">
        <v>145</v>
      </c>
      <c r="C8" s="454">
        <v>0</v>
      </c>
      <c r="D8" s="454"/>
      <c r="E8" s="454"/>
      <c r="F8" s="454"/>
      <c r="G8" s="455" t="s">
        <v>28</v>
      </c>
      <c r="H8" s="454"/>
      <c r="I8" s="676" t="s">
        <v>54</v>
      </c>
      <c r="J8" s="677"/>
      <c r="K8" s="678"/>
      <c r="L8" s="456"/>
      <c r="M8" s="456"/>
      <c r="N8" s="676" t="s">
        <v>55</v>
      </c>
      <c r="O8" s="679"/>
      <c r="P8" s="456"/>
      <c r="Q8" s="687" t="s">
        <v>199</v>
      </c>
    </row>
    <row r="9" spans="2:22" s="104" customFormat="1" ht="12.75" customHeight="1">
      <c r="B9" s="457" t="s">
        <v>146</v>
      </c>
      <c r="C9" s="680" t="s">
        <v>46</v>
      </c>
      <c r="D9" s="680"/>
      <c r="E9" s="680"/>
      <c r="F9" s="458"/>
      <c r="G9" s="459"/>
      <c r="H9" s="460" t="s">
        <v>57</v>
      </c>
      <c r="I9" s="461" t="s">
        <v>3</v>
      </c>
      <c r="J9" s="462" t="s">
        <v>59</v>
      </c>
      <c r="K9" s="463" t="s">
        <v>147</v>
      </c>
      <c r="L9" s="462" t="s">
        <v>61</v>
      </c>
      <c r="M9" s="464" t="s">
        <v>544</v>
      </c>
      <c r="N9" s="465"/>
      <c r="O9" s="466" t="s">
        <v>147</v>
      </c>
      <c r="P9" s="467" t="s">
        <v>148</v>
      </c>
      <c r="Q9" s="688"/>
      <c r="R9" s="279" t="s">
        <v>554</v>
      </c>
      <c r="S9" s="279" t="s">
        <v>555</v>
      </c>
    </row>
    <row r="10" spans="2:22" s="104" customFormat="1" ht="14.25">
      <c r="B10" s="468" t="s">
        <v>149</v>
      </c>
      <c r="C10" s="469" t="s">
        <v>47</v>
      </c>
      <c r="D10" s="470" t="s">
        <v>48</v>
      </c>
      <c r="E10" s="470" t="s">
        <v>49</v>
      </c>
      <c r="F10" s="470" t="s">
        <v>50</v>
      </c>
      <c r="G10" s="471"/>
      <c r="H10" s="470" t="s">
        <v>150</v>
      </c>
      <c r="I10" s="472" t="s">
        <v>151</v>
      </c>
      <c r="J10" s="473" t="s">
        <v>185</v>
      </c>
      <c r="K10" s="474" t="s">
        <v>153</v>
      </c>
      <c r="L10" s="473" t="s">
        <v>154</v>
      </c>
      <c r="M10" s="473"/>
      <c r="N10" s="470" t="s">
        <v>69</v>
      </c>
      <c r="O10" s="470" t="s">
        <v>155</v>
      </c>
      <c r="P10" s="475" t="s">
        <v>156</v>
      </c>
      <c r="Q10" s="689"/>
    </row>
    <row r="11" spans="2:22">
      <c r="B11" s="105" t="s">
        <v>186</v>
      </c>
      <c r="Q11" s="106"/>
    </row>
    <row r="12" spans="2:22" s="111" customFormat="1" ht="30" customHeight="1">
      <c r="B12" s="74">
        <v>1</v>
      </c>
      <c r="C12" s="74"/>
      <c r="D12" s="74"/>
      <c r="E12" s="74" t="s">
        <v>712</v>
      </c>
      <c r="F12" s="3" t="s">
        <v>713</v>
      </c>
      <c r="G12" s="323">
        <f>20530/2</f>
        <v>10265</v>
      </c>
      <c r="H12" s="78">
        <v>15</v>
      </c>
      <c r="I12" s="76">
        <v>10675</v>
      </c>
      <c r="J12" s="76"/>
      <c r="K12" s="76">
        <f>I12</f>
        <v>10675</v>
      </c>
      <c r="L12" s="76">
        <v>0</v>
      </c>
      <c r="M12" s="76"/>
      <c r="N12" s="76">
        <v>1560</v>
      </c>
      <c r="O12" s="76">
        <f>N12+M12</f>
        <v>1560</v>
      </c>
      <c r="P12" s="107">
        <f>K12-O12</f>
        <v>9115</v>
      </c>
      <c r="Q12" s="108"/>
      <c r="R12" s="109"/>
      <c r="S12" s="109"/>
      <c r="T12" s="109"/>
      <c r="U12" s="109"/>
      <c r="V12" s="110"/>
    </row>
    <row r="13" spans="2:22" s="111" customFormat="1" ht="30" customHeight="1">
      <c r="B13" s="74">
        <f>B12+1</f>
        <v>2</v>
      </c>
      <c r="C13" s="74"/>
      <c r="D13" s="74"/>
      <c r="E13" s="123" t="s">
        <v>188</v>
      </c>
      <c r="F13" s="3" t="s">
        <v>189</v>
      </c>
      <c r="G13" s="323">
        <f>12736/2</f>
        <v>6368</v>
      </c>
      <c r="H13" s="78">
        <v>15</v>
      </c>
      <c r="I13" s="76">
        <v>6623</v>
      </c>
      <c r="J13" s="76"/>
      <c r="K13" s="76">
        <f t="shared" ref="K13:K36" si="0">(I13+J13)</f>
        <v>6623</v>
      </c>
      <c r="L13" s="76">
        <v>0</v>
      </c>
      <c r="M13" s="76"/>
      <c r="N13" s="76">
        <v>696</v>
      </c>
      <c r="O13" s="76">
        <f t="shared" ref="O13:O36" si="1">N13+M13</f>
        <v>696</v>
      </c>
      <c r="P13" s="107">
        <f t="shared" ref="P13:P35" si="2">K13-O13</f>
        <v>5927</v>
      </c>
      <c r="Q13" s="108"/>
      <c r="R13" s="109"/>
      <c r="S13" s="109"/>
      <c r="T13" s="109"/>
      <c r="U13" s="109"/>
      <c r="V13" s="110"/>
    </row>
    <row r="14" spans="2:22" s="111" customFormat="1" ht="30" customHeight="1">
      <c r="B14" s="74">
        <v>3</v>
      </c>
      <c r="C14" s="74"/>
      <c r="D14" s="74"/>
      <c r="E14" s="65" t="s">
        <v>197</v>
      </c>
      <c r="F14" s="3" t="s">
        <v>189</v>
      </c>
      <c r="G14" s="323">
        <f t="shared" ref="G14:G23" si="3">9242/2</f>
        <v>4621</v>
      </c>
      <c r="H14" s="78">
        <v>15</v>
      </c>
      <c r="I14" s="76">
        <v>6623</v>
      </c>
      <c r="J14" s="76"/>
      <c r="K14" s="76">
        <v>6623</v>
      </c>
      <c r="L14" s="76">
        <v>0</v>
      </c>
      <c r="M14" s="76"/>
      <c r="N14" s="76">
        <v>696</v>
      </c>
      <c r="O14" s="76">
        <f>N14+M14</f>
        <v>696</v>
      </c>
      <c r="P14" s="107">
        <f>K14-O14</f>
        <v>5927</v>
      </c>
      <c r="Q14" s="108"/>
      <c r="R14" s="109"/>
      <c r="S14" s="109"/>
      <c r="T14" s="109"/>
      <c r="U14" s="109"/>
      <c r="V14" s="110"/>
    </row>
    <row r="15" spans="2:22" s="111" customFormat="1" ht="30" customHeight="1">
      <c r="B15" s="74">
        <v>4</v>
      </c>
      <c r="C15" s="212"/>
      <c r="D15" s="212"/>
      <c r="E15" s="212" t="s">
        <v>668</v>
      </c>
      <c r="F15" s="3" t="s">
        <v>189</v>
      </c>
      <c r="G15" s="323"/>
      <c r="H15" s="78">
        <v>15</v>
      </c>
      <c r="I15" s="76">
        <v>6623</v>
      </c>
      <c r="J15" s="76"/>
      <c r="K15" s="76">
        <v>6623</v>
      </c>
      <c r="L15" s="76">
        <v>0</v>
      </c>
      <c r="M15" s="76"/>
      <c r="N15" s="76">
        <v>696</v>
      </c>
      <c r="O15" s="76">
        <f t="shared" si="1"/>
        <v>696</v>
      </c>
      <c r="P15" s="107">
        <f t="shared" si="2"/>
        <v>5927</v>
      </c>
      <c r="Q15" s="108"/>
      <c r="R15" s="111" t="s">
        <v>669</v>
      </c>
      <c r="S15" s="111" t="s">
        <v>757</v>
      </c>
      <c r="T15" s="109"/>
      <c r="U15" s="109"/>
      <c r="V15" s="110"/>
    </row>
    <row r="16" spans="2:22" s="111" customFormat="1" ht="30" customHeight="1">
      <c r="B16" s="74">
        <v>5</v>
      </c>
      <c r="C16" s="74"/>
      <c r="D16" s="74"/>
      <c r="E16" s="65" t="s">
        <v>191</v>
      </c>
      <c r="F16" s="3" t="s">
        <v>192</v>
      </c>
      <c r="G16" s="323">
        <f t="shared" si="3"/>
        <v>4621</v>
      </c>
      <c r="H16" s="78">
        <v>15</v>
      </c>
      <c r="I16" s="76">
        <v>4806</v>
      </c>
      <c r="J16" s="76"/>
      <c r="K16" s="76">
        <f>(I16+J16)</f>
        <v>4806</v>
      </c>
      <c r="L16" s="76">
        <v>0</v>
      </c>
      <c r="M16" s="76"/>
      <c r="N16" s="76">
        <v>386</v>
      </c>
      <c r="O16" s="76">
        <f t="shared" si="1"/>
        <v>386</v>
      </c>
      <c r="P16" s="107">
        <f t="shared" si="2"/>
        <v>4420</v>
      </c>
      <c r="Q16" s="108"/>
      <c r="R16" s="109"/>
      <c r="S16" s="109"/>
      <c r="T16" s="109"/>
      <c r="U16" s="109"/>
      <c r="V16" s="110"/>
    </row>
    <row r="17" spans="1:22" s="111" customFormat="1" ht="30" customHeight="1">
      <c r="B17" s="74">
        <v>6</v>
      </c>
      <c r="C17" s="74"/>
      <c r="D17" s="74"/>
      <c r="E17" s="65" t="s">
        <v>194</v>
      </c>
      <c r="F17" s="3" t="s">
        <v>192</v>
      </c>
      <c r="G17" s="323">
        <f t="shared" si="3"/>
        <v>4621</v>
      </c>
      <c r="H17" s="78">
        <v>15</v>
      </c>
      <c r="I17" s="76">
        <v>4806</v>
      </c>
      <c r="J17" s="76"/>
      <c r="K17" s="76">
        <f t="shared" si="0"/>
        <v>4806</v>
      </c>
      <c r="L17" s="76">
        <v>0</v>
      </c>
      <c r="M17" s="76"/>
      <c r="N17" s="76">
        <v>386</v>
      </c>
      <c r="O17" s="76">
        <f t="shared" si="1"/>
        <v>386</v>
      </c>
      <c r="P17" s="107">
        <f t="shared" si="2"/>
        <v>4420</v>
      </c>
      <c r="Q17" s="108"/>
      <c r="R17" s="109"/>
      <c r="S17" s="109"/>
      <c r="T17" s="109"/>
      <c r="U17" s="109"/>
      <c r="V17" s="110"/>
    </row>
    <row r="18" spans="1:22" s="111" customFormat="1" ht="30" customHeight="1">
      <c r="B18" s="74">
        <f t="shared" ref="B18:B34" si="4">B17+1</f>
        <v>7</v>
      </c>
      <c r="C18" s="65"/>
      <c r="D18" s="65"/>
      <c r="E18" s="123" t="s">
        <v>195</v>
      </c>
      <c r="F18" s="112" t="s">
        <v>192</v>
      </c>
      <c r="G18" s="324">
        <f t="shared" si="3"/>
        <v>4621</v>
      </c>
      <c r="H18" s="113">
        <v>15</v>
      </c>
      <c r="I18" s="76">
        <v>4806</v>
      </c>
      <c r="J18" s="67"/>
      <c r="K18" s="76">
        <f t="shared" si="0"/>
        <v>4806</v>
      </c>
      <c r="L18" s="76">
        <v>0</v>
      </c>
      <c r="M18" s="76"/>
      <c r="N18" s="76">
        <v>386</v>
      </c>
      <c r="O18" s="76">
        <f t="shared" si="1"/>
        <v>386</v>
      </c>
      <c r="P18" s="107">
        <f t="shared" si="2"/>
        <v>4420</v>
      </c>
      <c r="Q18" s="114"/>
      <c r="R18" s="109"/>
      <c r="S18" s="109"/>
      <c r="T18" s="238">
        <v>10</v>
      </c>
      <c r="U18" s="238">
        <f>I18/15*T18</f>
        <v>3204</v>
      </c>
      <c r="V18" s="110">
        <f>U18</f>
        <v>3204</v>
      </c>
    </row>
    <row r="19" spans="1:22" s="111" customFormat="1" ht="30" customHeight="1">
      <c r="B19" s="74">
        <f t="shared" si="4"/>
        <v>8</v>
      </c>
      <c r="C19" s="74"/>
      <c r="D19" s="74"/>
      <c r="E19" s="65" t="s">
        <v>81</v>
      </c>
      <c r="F19" s="3" t="s">
        <v>192</v>
      </c>
      <c r="G19" s="323">
        <f t="shared" si="3"/>
        <v>4621</v>
      </c>
      <c r="H19" s="78">
        <v>15</v>
      </c>
      <c r="I19" s="76">
        <v>4806</v>
      </c>
      <c r="J19" s="76"/>
      <c r="K19" s="76">
        <f t="shared" si="0"/>
        <v>4806</v>
      </c>
      <c r="L19" s="76">
        <v>0</v>
      </c>
      <c r="M19" s="76"/>
      <c r="N19" s="76">
        <v>386</v>
      </c>
      <c r="O19" s="76">
        <f t="shared" si="1"/>
        <v>386</v>
      </c>
      <c r="P19" s="107">
        <f t="shared" si="2"/>
        <v>4420</v>
      </c>
      <c r="Q19" s="108"/>
      <c r="R19" s="109"/>
      <c r="S19" s="109"/>
      <c r="T19" s="109"/>
      <c r="U19" s="109"/>
      <c r="V19" s="110"/>
    </row>
    <row r="20" spans="1:22" s="111" customFormat="1" ht="30" customHeight="1">
      <c r="B20" s="74">
        <f t="shared" si="4"/>
        <v>9</v>
      </c>
      <c r="C20" s="74"/>
      <c r="D20" s="74"/>
      <c r="E20" s="65" t="s">
        <v>528</v>
      </c>
      <c r="F20" s="3" t="s">
        <v>192</v>
      </c>
      <c r="G20" s="323">
        <f t="shared" si="3"/>
        <v>4621</v>
      </c>
      <c r="H20" s="78">
        <v>15</v>
      </c>
      <c r="I20" s="76">
        <v>4806</v>
      </c>
      <c r="J20" s="76"/>
      <c r="K20" s="76">
        <f t="shared" si="0"/>
        <v>4806</v>
      </c>
      <c r="L20" s="76">
        <v>0</v>
      </c>
      <c r="M20" s="76"/>
      <c r="N20" s="76">
        <v>386</v>
      </c>
      <c r="O20" s="76">
        <f t="shared" si="1"/>
        <v>386</v>
      </c>
      <c r="P20" s="107">
        <f t="shared" si="2"/>
        <v>4420</v>
      </c>
      <c r="Q20" s="108"/>
      <c r="R20" s="109"/>
      <c r="S20" s="109"/>
      <c r="T20" s="109"/>
      <c r="U20" s="109"/>
      <c r="V20" s="110"/>
    </row>
    <row r="21" spans="1:22" s="111" customFormat="1" ht="30" customHeight="1">
      <c r="B21" s="74">
        <f t="shared" si="4"/>
        <v>10</v>
      </c>
      <c r="C21" s="74"/>
      <c r="D21" s="74"/>
      <c r="E21" s="65" t="s">
        <v>196</v>
      </c>
      <c r="F21" s="3" t="s">
        <v>192</v>
      </c>
      <c r="G21" s="323">
        <f t="shared" si="3"/>
        <v>4621</v>
      </c>
      <c r="H21" s="78">
        <v>15</v>
      </c>
      <c r="I21" s="76">
        <v>4806</v>
      </c>
      <c r="J21" s="115"/>
      <c r="K21" s="76">
        <f t="shared" si="0"/>
        <v>4806</v>
      </c>
      <c r="L21" s="76">
        <v>0</v>
      </c>
      <c r="M21" s="76"/>
      <c r="N21" s="76">
        <v>386</v>
      </c>
      <c r="O21" s="76">
        <f t="shared" si="1"/>
        <v>386</v>
      </c>
      <c r="P21" s="107">
        <f t="shared" si="2"/>
        <v>4420</v>
      </c>
      <c r="Q21" s="108"/>
      <c r="R21" s="109"/>
      <c r="S21" s="109"/>
      <c r="T21" s="238">
        <v>10</v>
      </c>
      <c r="U21" s="239">
        <f>I21/15*T21</f>
        <v>3204</v>
      </c>
      <c r="V21" s="110">
        <f>U21</f>
        <v>3204</v>
      </c>
    </row>
    <row r="22" spans="1:22" s="111" customFormat="1" ht="30" customHeight="1">
      <c r="B22" s="74">
        <v>11</v>
      </c>
      <c r="C22" s="74"/>
      <c r="D22" s="74"/>
      <c r="E22" s="65" t="s">
        <v>190</v>
      </c>
      <c r="F22" s="3" t="s">
        <v>192</v>
      </c>
      <c r="G22" s="323">
        <f>12736/2</f>
        <v>6368</v>
      </c>
      <c r="H22" s="78">
        <v>15</v>
      </c>
      <c r="I22" s="76">
        <v>6623</v>
      </c>
      <c r="J22" s="76"/>
      <c r="K22" s="76">
        <f>(I22+J22)</f>
        <v>6623</v>
      </c>
      <c r="L22" s="76">
        <v>0</v>
      </c>
      <c r="M22" s="76"/>
      <c r="N22" s="76">
        <v>696</v>
      </c>
      <c r="O22" s="76">
        <f>N22+M22</f>
        <v>696</v>
      </c>
      <c r="P22" s="107">
        <f>K22-O22</f>
        <v>5927</v>
      </c>
      <c r="Q22" s="108"/>
      <c r="R22" s="109"/>
      <c r="S22" s="109"/>
      <c r="T22" s="238"/>
      <c r="U22" s="239"/>
      <c r="V22" s="110"/>
    </row>
    <row r="23" spans="1:22" s="111" customFormat="1" ht="30" customHeight="1">
      <c r="B23" s="74">
        <v>12</v>
      </c>
      <c r="C23" s="74"/>
      <c r="D23" s="74"/>
      <c r="E23" s="123" t="s">
        <v>263</v>
      </c>
      <c r="F23" s="3" t="s">
        <v>192</v>
      </c>
      <c r="G23" s="323">
        <f t="shared" si="3"/>
        <v>4621</v>
      </c>
      <c r="H23" s="78">
        <v>15</v>
      </c>
      <c r="I23" s="76">
        <v>4806</v>
      </c>
      <c r="J23" s="76"/>
      <c r="K23" s="76">
        <f t="shared" si="0"/>
        <v>4806</v>
      </c>
      <c r="L23" s="76">
        <v>0</v>
      </c>
      <c r="M23" s="76"/>
      <c r="N23" s="76">
        <v>386</v>
      </c>
      <c r="O23" s="76">
        <f t="shared" si="1"/>
        <v>386</v>
      </c>
      <c r="P23" s="107">
        <f t="shared" si="2"/>
        <v>4420</v>
      </c>
      <c r="Q23" s="108"/>
      <c r="T23" s="109" t="s">
        <v>264</v>
      </c>
      <c r="U23" s="109"/>
      <c r="V23" s="110"/>
    </row>
    <row r="24" spans="1:22" s="111" customFormat="1" ht="30" customHeight="1">
      <c r="B24" s="74">
        <f t="shared" si="4"/>
        <v>13</v>
      </c>
      <c r="C24" s="74"/>
      <c r="D24" s="74"/>
      <c r="E24" s="398" t="s">
        <v>601</v>
      </c>
      <c r="F24" s="3" t="s">
        <v>192</v>
      </c>
      <c r="G24" s="323">
        <f>9242/2</f>
        <v>4621</v>
      </c>
      <c r="H24" s="78">
        <v>15</v>
      </c>
      <c r="I24" s="76">
        <v>4806</v>
      </c>
      <c r="J24" s="76"/>
      <c r="K24" s="76">
        <f t="shared" si="0"/>
        <v>4806</v>
      </c>
      <c r="L24" s="76">
        <v>0</v>
      </c>
      <c r="M24" s="76"/>
      <c r="N24" s="76">
        <v>386</v>
      </c>
      <c r="O24" s="76">
        <f t="shared" si="1"/>
        <v>386</v>
      </c>
      <c r="P24" s="107">
        <f t="shared" si="2"/>
        <v>4420</v>
      </c>
      <c r="Q24" s="108"/>
      <c r="T24" s="109"/>
      <c r="U24" s="109"/>
      <c r="V24" s="110"/>
    </row>
    <row r="25" spans="1:22" s="111" customFormat="1" ht="30" customHeight="1">
      <c r="B25" s="74">
        <f t="shared" si="4"/>
        <v>14</v>
      </c>
      <c r="C25" s="74"/>
      <c r="D25" s="74"/>
      <c r="E25" s="398" t="s">
        <v>595</v>
      </c>
      <c r="F25" s="3" t="s">
        <v>192</v>
      </c>
      <c r="G25" s="323">
        <v>4621</v>
      </c>
      <c r="H25" s="78">
        <v>15</v>
      </c>
      <c r="I25" s="76">
        <v>4806</v>
      </c>
      <c r="J25" s="76"/>
      <c r="K25" s="76">
        <f t="shared" si="0"/>
        <v>4806</v>
      </c>
      <c r="L25" s="76">
        <v>0</v>
      </c>
      <c r="M25" s="76"/>
      <c r="N25" s="76">
        <v>386</v>
      </c>
      <c r="O25" s="76">
        <f t="shared" si="1"/>
        <v>386</v>
      </c>
      <c r="P25" s="107">
        <f t="shared" si="2"/>
        <v>4420</v>
      </c>
      <c r="Q25" s="108"/>
      <c r="R25" s="111" t="s">
        <v>596</v>
      </c>
      <c r="S25" s="111" t="s">
        <v>620</v>
      </c>
      <c r="T25" s="109"/>
      <c r="U25" s="109"/>
      <c r="V25" s="110"/>
    </row>
    <row r="26" spans="1:22" s="111" customFormat="1" ht="30" customHeight="1">
      <c r="B26" s="74">
        <f t="shared" si="4"/>
        <v>15</v>
      </c>
      <c r="C26" s="74"/>
      <c r="D26" s="74"/>
      <c r="E26" s="74" t="s">
        <v>268</v>
      </c>
      <c r="F26" s="3" t="s">
        <v>192</v>
      </c>
      <c r="G26" s="323">
        <f>9242/2</f>
        <v>4621</v>
      </c>
      <c r="H26" s="78">
        <v>15</v>
      </c>
      <c r="I26" s="76">
        <v>4806</v>
      </c>
      <c r="J26" s="76"/>
      <c r="K26" s="76">
        <f t="shared" si="0"/>
        <v>4806</v>
      </c>
      <c r="L26" s="76">
        <v>0</v>
      </c>
      <c r="M26" s="76"/>
      <c r="N26" s="76">
        <v>386</v>
      </c>
      <c r="O26" s="76">
        <f t="shared" si="1"/>
        <v>386</v>
      </c>
      <c r="P26" s="107">
        <f t="shared" si="2"/>
        <v>4420</v>
      </c>
      <c r="Q26" s="108"/>
      <c r="T26" s="109"/>
      <c r="U26" s="109"/>
      <c r="V26" s="110"/>
    </row>
    <row r="27" spans="1:22" s="111" customFormat="1" ht="30" customHeight="1">
      <c r="B27" s="74">
        <f t="shared" si="4"/>
        <v>16</v>
      </c>
      <c r="C27" s="74"/>
      <c r="D27" s="74"/>
      <c r="E27" s="74" t="s">
        <v>576</v>
      </c>
      <c r="F27" s="3" t="s">
        <v>192</v>
      </c>
      <c r="G27" s="323">
        <f>9242/2</f>
        <v>4621</v>
      </c>
      <c r="H27" s="78">
        <v>15</v>
      </c>
      <c r="I27" s="76">
        <v>4806</v>
      </c>
      <c r="J27" s="76"/>
      <c r="K27" s="76">
        <f t="shared" si="0"/>
        <v>4806</v>
      </c>
      <c r="L27" s="76">
        <v>0</v>
      </c>
      <c r="M27" s="76"/>
      <c r="N27" s="76">
        <v>386</v>
      </c>
      <c r="O27" s="76">
        <f t="shared" si="1"/>
        <v>386</v>
      </c>
      <c r="P27" s="107">
        <f t="shared" si="2"/>
        <v>4420</v>
      </c>
      <c r="Q27" s="108"/>
      <c r="S27" s="406" t="s">
        <v>621</v>
      </c>
      <c r="T27" s="109"/>
      <c r="U27" s="109"/>
      <c r="V27" s="110"/>
    </row>
    <row r="28" spans="1:22" s="111" customFormat="1" ht="30" customHeight="1">
      <c r="B28" s="74">
        <f t="shared" si="4"/>
        <v>17</v>
      </c>
      <c r="C28" s="74"/>
      <c r="D28" s="74"/>
      <c r="E28" s="74" t="s">
        <v>611</v>
      </c>
      <c r="F28" s="3" t="s">
        <v>192</v>
      </c>
      <c r="G28" s="323"/>
      <c r="H28" s="78">
        <v>15</v>
      </c>
      <c r="I28" s="76">
        <v>4806</v>
      </c>
      <c r="J28" s="76"/>
      <c r="K28" s="76">
        <f t="shared" si="0"/>
        <v>4806</v>
      </c>
      <c r="L28" s="76">
        <v>0</v>
      </c>
      <c r="M28" s="76"/>
      <c r="N28" s="76">
        <v>386</v>
      </c>
      <c r="O28" s="76">
        <f t="shared" si="1"/>
        <v>386</v>
      </c>
      <c r="P28" s="107">
        <f t="shared" si="2"/>
        <v>4420</v>
      </c>
      <c r="Q28" s="108"/>
      <c r="R28" s="111" t="s">
        <v>612</v>
      </c>
      <c r="S28" s="111" t="s">
        <v>622</v>
      </c>
      <c r="T28" s="109"/>
      <c r="U28" s="109"/>
      <c r="V28" s="110"/>
    </row>
    <row r="29" spans="1:22" s="111" customFormat="1" ht="30" customHeight="1">
      <c r="B29" s="74">
        <f t="shared" si="4"/>
        <v>18</v>
      </c>
      <c r="C29" s="74"/>
      <c r="D29" s="74"/>
      <c r="E29" s="74" t="s">
        <v>630</v>
      </c>
      <c r="F29" s="3" t="s">
        <v>192</v>
      </c>
      <c r="G29" s="323"/>
      <c r="H29" s="78">
        <v>15</v>
      </c>
      <c r="I29" s="76">
        <v>4806</v>
      </c>
      <c r="J29" s="76"/>
      <c r="K29" s="76">
        <f t="shared" si="0"/>
        <v>4806</v>
      </c>
      <c r="L29" s="76">
        <v>0</v>
      </c>
      <c r="M29" s="76"/>
      <c r="N29" s="76">
        <v>386</v>
      </c>
      <c r="O29" s="76">
        <f t="shared" si="1"/>
        <v>386</v>
      </c>
      <c r="P29" s="76">
        <f t="shared" si="2"/>
        <v>4420</v>
      </c>
      <c r="Q29" s="302"/>
      <c r="R29" s="111" t="s">
        <v>631</v>
      </c>
      <c r="S29" s="111" t="s">
        <v>759</v>
      </c>
      <c r="T29" s="109"/>
      <c r="U29" s="109"/>
      <c r="V29" s="110"/>
    </row>
    <row r="30" spans="1:22" s="111" customFormat="1" ht="30" customHeight="1">
      <c r="B30" s="74">
        <f t="shared" si="4"/>
        <v>19</v>
      </c>
      <c r="C30" s="74"/>
      <c r="D30" s="74"/>
      <c r="E30" s="74" t="s">
        <v>655</v>
      </c>
      <c r="F30" s="3" t="s">
        <v>192</v>
      </c>
      <c r="G30" s="323"/>
      <c r="H30" s="78">
        <v>15</v>
      </c>
      <c r="I30" s="76">
        <v>4806</v>
      </c>
      <c r="J30" s="76"/>
      <c r="K30" s="76">
        <f t="shared" si="0"/>
        <v>4806</v>
      </c>
      <c r="L30" s="76">
        <v>0</v>
      </c>
      <c r="M30" s="76"/>
      <c r="N30" s="76">
        <v>386</v>
      </c>
      <c r="O30" s="76">
        <f t="shared" si="1"/>
        <v>386</v>
      </c>
      <c r="P30" s="76">
        <f t="shared" si="2"/>
        <v>4420</v>
      </c>
      <c r="Q30" s="302"/>
      <c r="R30" s="111" t="s">
        <v>674</v>
      </c>
      <c r="S30" s="111" t="s">
        <v>761</v>
      </c>
      <c r="T30" s="109"/>
      <c r="U30" s="109"/>
      <c r="V30" s="110"/>
    </row>
    <row r="31" spans="1:22" s="111" customFormat="1" ht="30" customHeight="1">
      <c r="A31" s="413" t="s">
        <v>672</v>
      </c>
      <c r="B31" s="74">
        <f t="shared" si="4"/>
        <v>20</v>
      </c>
      <c r="C31" s="74"/>
      <c r="D31" s="74"/>
      <c r="E31" s="74" t="s">
        <v>688</v>
      </c>
      <c r="F31" s="3" t="s">
        <v>192</v>
      </c>
      <c r="G31" s="323"/>
      <c r="H31" s="78">
        <v>15</v>
      </c>
      <c r="I31" s="76">
        <v>4806</v>
      </c>
      <c r="J31" s="76"/>
      <c r="K31" s="76">
        <f t="shared" si="0"/>
        <v>4806</v>
      </c>
      <c r="L31" s="76">
        <v>0</v>
      </c>
      <c r="M31" s="76"/>
      <c r="N31" s="76">
        <v>386</v>
      </c>
      <c r="O31" s="76">
        <f t="shared" si="1"/>
        <v>386</v>
      </c>
      <c r="P31" s="107">
        <f t="shared" si="2"/>
        <v>4420</v>
      </c>
      <c r="Q31" s="108"/>
      <c r="R31" s="111" t="s">
        <v>665</v>
      </c>
      <c r="S31" s="111" t="s">
        <v>760</v>
      </c>
      <c r="T31" s="109"/>
      <c r="U31" s="109"/>
      <c r="V31" s="110"/>
    </row>
    <row r="32" spans="1:22" s="111" customFormat="1" ht="30" customHeight="1">
      <c r="A32" s="413" t="s">
        <v>672</v>
      </c>
      <c r="B32" s="74">
        <f t="shared" si="4"/>
        <v>21</v>
      </c>
      <c r="C32" s="212"/>
      <c r="D32" s="212"/>
      <c r="E32" s="212" t="s">
        <v>670</v>
      </c>
      <c r="F32" s="116" t="s">
        <v>192</v>
      </c>
      <c r="G32" s="325"/>
      <c r="H32" s="117">
        <v>15</v>
      </c>
      <c r="I32" s="115">
        <v>4806</v>
      </c>
      <c r="J32" s="115"/>
      <c r="K32" s="76">
        <f t="shared" si="0"/>
        <v>4806</v>
      </c>
      <c r="L32" s="76">
        <v>0</v>
      </c>
      <c r="M32" s="76"/>
      <c r="N32" s="76">
        <v>386</v>
      </c>
      <c r="O32" s="76">
        <f t="shared" si="1"/>
        <v>386</v>
      </c>
      <c r="P32" s="107">
        <f t="shared" si="2"/>
        <v>4420</v>
      </c>
      <c r="Q32" s="108"/>
      <c r="R32" s="111" t="s">
        <v>669</v>
      </c>
      <c r="S32" s="111" t="s">
        <v>758</v>
      </c>
      <c r="T32" s="109"/>
      <c r="U32" s="109"/>
      <c r="V32" s="110"/>
    </row>
    <row r="33" spans="1:22" s="111" customFormat="1" ht="30" customHeight="1">
      <c r="A33" s="413" t="s">
        <v>672</v>
      </c>
      <c r="B33" s="74">
        <f t="shared" si="4"/>
        <v>22</v>
      </c>
      <c r="C33" s="212"/>
      <c r="D33" s="212"/>
      <c r="E33" s="212" t="s">
        <v>671</v>
      </c>
      <c r="F33" s="116" t="s">
        <v>192</v>
      </c>
      <c r="G33" s="325"/>
      <c r="H33" s="117">
        <v>15</v>
      </c>
      <c r="I33" s="115">
        <v>4806</v>
      </c>
      <c r="J33" s="115"/>
      <c r="K33" s="76">
        <f t="shared" si="0"/>
        <v>4806</v>
      </c>
      <c r="L33" s="76">
        <v>0</v>
      </c>
      <c r="M33" s="76"/>
      <c r="N33" s="76">
        <v>386</v>
      </c>
      <c r="O33" s="76">
        <f t="shared" si="1"/>
        <v>386</v>
      </c>
      <c r="P33" s="107">
        <f t="shared" si="2"/>
        <v>4420</v>
      </c>
      <c r="Q33" s="108"/>
      <c r="R33" s="111" t="s">
        <v>669</v>
      </c>
      <c r="S33" s="111" t="s">
        <v>758</v>
      </c>
      <c r="T33" s="109"/>
      <c r="U33" s="109"/>
      <c r="V33" s="110"/>
    </row>
    <row r="34" spans="1:22" s="111" customFormat="1" ht="30" customHeight="1">
      <c r="A34" s="567"/>
      <c r="B34" s="74">
        <f t="shared" si="4"/>
        <v>23</v>
      </c>
      <c r="C34" s="212"/>
      <c r="D34" s="212"/>
      <c r="E34" s="212" t="s">
        <v>700</v>
      </c>
      <c r="F34" s="116" t="s">
        <v>192</v>
      </c>
      <c r="G34" s="325"/>
      <c r="H34" s="117">
        <v>15</v>
      </c>
      <c r="I34" s="115">
        <v>4806</v>
      </c>
      <c r="J34" s="115"/>
      <c r="K34" s="76">
        <f t="shared" si="0"/>
        <v>4806</v>
      </c>
      <c r="L34" s="76"/>
      <c r="M34" s="76"/>
      <c r="N34" s="76">
        <v>386</v>
      </c>
      <c r="O34" s="76">
        <f t="shared" si="1"/>
        <v>386</v>
      </c>
      <c r="P34" s="107">
        <f t="shared" si="2"/>
        <v>4420</v>
      </c>
      <c r="Q34" s="108"/>
      <c r="R34" s="111" t="s">
        <v>701</v>
      </c>
      <c r="S34" s="111" t="s">
        <v>756</v>
      </c>
      <c r="T34" s="109"/>
      <c r="U34" s="109"/>
      <c r="V34" s="110"/>
    </row>
    <row r="35" spans="1:22" s="111" customFormat="1" ht="30" customHeight="1">
      <c r="A35" s="567"/>
      <c r="B35" s="74">
        <v>24</v>
      </c>
      <c r="C35" s="212"/>
      <c r="D35" s="212"/>
      <c r="E35" s="212" t="s">
        <v>810</v>
      </c>
      <c r="F35" s="116" t="s">
        <v>192</v>
      </c>
      <c r="G35" s="325"/>
      <c r="H35" s="117">
        <v>15</v>
      </c>
      <c r="I35" s="115">
        <v>4806</v>
      </c>
      <c r="J35" s="115"/>
      <c r="K35" s="76">
        <f t="shared" si="0"/>
        <v>4806</v>
      </c>
      <c r="L35" s="76"/>
      <c r="M35" s="76"/>
      <c r="N35" s="76">
        <v>386</v>
      </c>
      <c r="O35" s="76">
        <f t="shared" si="1"/>
        <v>386</v>
      </c>
      <c r="P35" s="107">
        <f t="shared" si="2"/>
        <v>4420</v>
      </c>
      <c r="Q35" s="108"/>
      <c r="R35" s="111" t="s">
        <v>703</v>
      </c>
      <c r="S35" s="111" t="s">
        <v>755</v>
      </c>
      <c r="T35" s="109"/>
      <c r="U35" s="109"/>
      <c r="V35" s="110"/>
    </row>
    <row r="36" spans="1:22" s="111" customFormat="1" ht="30" customHeight="1">
      <c r="B36" s="74">
        <v>25</v>
      </c>
      <c r="C36" s="74"/>
      <c r="D36" s="74"/>
      <c r="E36" s="74" t="s">
        <v>207</v>
      </c>
      <c r="F36" s="3" t="s">
        <v>208</v>
      </c>
      <c r="G36" s="326">
        <f>4592/2</f>
        <v>2296</v>
      </c>
      <c r="H36" s="78">
        <v>15</v>
      </c>
      <c r="I36" s="76">
        <v>2388</v>
      </c>
      <c r="J36" s="76"/>
      <c r="K36" s="76">
        <f t="shared" si="0"/>
        <v>2388</v>
      </c>
      <c r="L36" s="76">
        <v>24.04</v>
      </c>
      <c r="M36" s="76"/>
      <c r="N36" s="76"/>
      <c r="O36" s="76">
        <f t="shared" si="1"/>
        <v>0</v>
      </c>
      <c r="P36" s="107">
        <f t="shared" ref="P36" si="5">K36+L36-O36</f>
        <v>2412.04</v>
      </c>
      <c r="Q36" s="302"/>
      <c r="T36" s="109"/>
      <c r="U36" s="109"/>
      <c r="V36" s="110"/>
    </row>
    <row r="37" spans="1:22" s="111" customFormat="1" ht="30" customHeight="1" thickBot="1">
      <c r="B37" s="14"/>
      <c r="C37" s="556" t="s">
        <v>44</v>
      </c>
      <c r="D37" s="556"/>
      <c r="E37" s="556"/>
      <c r="F37" s="556"/>
      <c r="G37" s="556"/>
      <c r="H37" s="556"/>
      <c r="I37" s="557">
        <f>SUM(I12:I36)</f>
        <v>130869</v>
      </c>
      <c r="J37" s="557">
        <f t="shared" ref="J37:M37" si="6">SUM(J12:J36)</f>
        <v>0</v>
      </c>
      <c r="K37" s="557">
        <f>SUM(K12:K36)</f>
        <v>130869</v>
      </c>
      <c r="L37" s="557">
        <f t="shared" si="6"/>
        <v>24.04</v>
      </c>
      <c r="M37" s="557">
        <f t="shared" si="6"/>
        <v>0</v>
      </c>
      <c r="N37" s="557">
        <f>SUM(N12:N36)</f>
        <v>11678</v>
      </c>
      <c r="O37" s="557">
        <f>SUM(O12:O36)</f>
        <v>11678</v>
      </c>
      <c r="P37" s="508">
        <f>SUM(P12:P36)</f>
        <v>119215.03999999999</v>
      </c>
      <c r="R37" s="110"/>
      <c r="S37" s="110"/>
    </row>
    <row r="38" spans="1:22" ht="12" thickTop="1"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9"/>
      <c r="Q38" s="111"/>
      <c r="R38" s="111"/>
      <c r="S38" s="111"/>
      <c r="T38" s="111"/>
      <c r="U38" s="111"/>
      <c r="V38" s="111"/>
    </row>
    <row r="39" spans="1:22"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9"/>
      <c r="Q39" s="111"/>
      <c r="R39" s="211"/>
      <c r="S39" s="111"/>
      <c r="T39" s="111"/>
      <c r="U39" s="111"/>
      <c r="V39" s="111"/>
    </row>
    <row r="40" spans="1:22"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9"/>
      <c r="Q40" s="111"/>
      <c r="R40" s="111"/>
      <c r="S40" s="111"/>
      <c r="T40" s="111"/>
      <c r="U40" s="111"/>
      <c r="V40" s="111"/>
    </row>
    <row r="41" spans="1:22"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9"/>
      <c r="Q41" s="111"/>
      <c r="R41" s="111"/>
      <c r="S41" s="111"/>
      <c r="T41" s="111"/>
      <c r="U41" s="111"/>
      <c r="V41" s="111"/>
    </row>
    <row r="42" spans="1:22">
      <c r="B42" s="118"/>
      <c r="C42" s="118"/>
      <c r="D42" s="118"/>
      <c r="E42" s="118"/>
      <c r="F42" s="118"/>
      <c r="G42" s="118" t="s">
        <v>28</v>
      </c>
      <c r="H42" s="118"/>
      <c r="I42" s="118"/>
      <c r="J42" s="118"/>
      <c r="K42" s="118"/>
      <c r="L42" s="118"/>
      <c r="M42" s="118"/>
      <c r="N42" s="120"/>
      <c r="O42" s="118"/>
      <c r="P42" s="121"/>
    </row>
    <row r="43" spans="1:22">
      <c r="G43" s="54"/>
      <c r="H43" s="54"/>
      <c r="I43" s="54"/>
      <c r="J43" s="54"/>
      <c r="K43" s="54"/>
      <c r="L43" s="54"/>
      <c r="M43" s="54"/>
    </row>
    <row r="44" spans="1:22" ht="13.5" customHeight="1">
      <c r="B44" s="655" t="s">
        <v>738</v>
      </c>
      <c r="C44" s="655"/>
      <c r="D44" s="655"/>
      <c r="E44" s="655"/>
      <c r="F44" s="5"/>
      <c r="G44" s="675" t="s">
        <v>783</v>
      </c>
      <c r="H44" s="675"/>
      <c r="I44" s="675"/>
      <c r="J44" s="675"/>
      <c r="K44" s="675"/>
      <c r="L44" s="675"/>
      <c r="M44" s="675"/>
      <c r="N44" s="5"/>
      <c r="O44" s="674" t="s">
        <v>673</v>
      </c>
      <c r="P44" s="674"/>
      <c r="Q44" s="674"/>
    </row>
    <row r="45" spans="1:22" ht="12.75">
      <c r="B45" s="656" t="s">
        <v>139</v>
      </c>
      <c r="C45" s="656"/>
      <c r="D45" s="656"/>
      <c r="E45" s="656"/>
      <c r="F45" s="5"/>
      <c r="G45" s="5"/>
      <c r="H45" s="656" t="s">
        <v>717</v>
      </c>
      <c r="I45" s="656"/>
      <c r="J45" s="656"/>
      <c r="K45" s="656"/>
      <c r="L45" s="656"/>
      <c r="M45" s="656"/>
      <c r="N45" s="5"/>
      <c r="O45" s="656" t="s">
        <v>30</v>
      </c>
      <c r="P45" s="656"/>
      <c r="Q45" s="656"/>
    </row>
    <row r="46" spans="1:22">
      <c r="K46" s="122"/>
    </row>
    <row r="47" spans="1:22">
      <c r="P47" s="122"/>
    </row>
    <row r="48" spans="1:22">
      <c r="P48" s="122"/>
    </row>
    <row r="49" spans="16:16">
      <c r="P49" s="178"/>
    </row>
    <row r="53" spans="16:16">
      <c r="P53" s="256">
        <f>K37+L37-O37</f>
        <v>119215.03999999999</v>
      </c>
    </row>
    <row r="54" spans="16:16">
      <c r="P54" s="256">
        <f>P37-P53</f>
        <v>0</v>
      </c>
    </row>
  </sheetData>
  <mergeCells count="12">
    <mergeCell ref="I8:K8"/>
    <mergeCell ref="N8:O8"/>
    <mergeCell ref="C9:E9"/>
    <mergeCell ref="B3:Q3"/>
    <mergeCell ref="B4:Q4"/>
    <mergeCell ref="Q8:Q10"/>
    <mergeCell ref="B44:E44"/>
    <mergeCell ref="O44:Q44"/>
    <mergeCell ref="B45:E45"/>
    <mergeCell ref="O45:Q45"/>
    <mergeCell ref="G44:M44"/>
    <mergeCell ref="H45:M45"/>
  </mergeCells>
  <printOptions horizontalCentered="1"/>
  <pageMargins left="0.70866141732283472" right="0.70866141732283472" top="0.43307086614173229" bottom="0.43307086614173229" header="0.31496062992125984" footer="0.31496062992125984"/>
  <pageSetup paperSize="5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S35"/>
  <sheetViews>
    <sheetView topLeftCell="A13" workbookViewId="0">
      <selection activeCell="E28" sqref="E28"/>
    </sheetView>
  </sheetViews>
  <sheetFormatPr baseColWidth="10" defaultRowHeight="11.25"/>
  <cols>
    <col min="1" max="1" width="11.42578125" style="111"/>
    <col min="2" max="2" width="5.85546875" style="111" customWidth="1"/>
    <col min="3" max="3" width="9.28515625" style="111" customWidth="1"/>
    <col min="4" max="4" width="9" style="111" customWidth="1"/>
    <col min="5" max="5" width="15.42578125" style="111" customWidth="1"/>
    <col min="6" max="6" width="12.28515625" style="111" customWidth="1"/>
    <col min="7" max="7" width="0.7109375" style="111" hidden="1" customWidth="1"/>
    <col min="8" max="8" width="11.140625" style="331" hidden="1" customWidth="1"/>
    <col min="9" max="9" width="4.85546875" style="111" customWidth="1"/>
    <col min="10" max="10" width="12.42578125" style="133" customWidth="1"/>
    <col min="11" max="11" width="5.42578125" style="111" hidden="1" customWidth="1"/>
    <col min="12" max="12" width="12.140625" style="133" customWidth="1"/>
    <col min="13" max="13" width="10.85546875" style="111" customWidth="1"/>
    <col min="14" max="14" width="12" style="111" customWidth="1"/>
    <col min="15" max="15" width="11" style="111" customWidth="1"/>
    <col min="16" max="16" width="11.7109375" style="111" customWidth="1"/>
    <col min="17" max="17" width="25.140625" style="111" customWidth="1"/>
    <col min="18" max="18" width="23" style="111" customWidth="1"/>
    <col min="19" max="16384" width="11.42578125" style="111"/>
  </cols>
  <sheetData>
    <row r="2" spans="2:17" s="46" customFormat="1" ht="16.5">
      <c r="B2" s="693"/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  <c r="N2" s="694"/>
      <c r="O2" s="694"/>
      <c r="P2" s="694"/>
      <c r="Q2" s="51"/>
    </row>
    <row r="3" spans="2:17" s="46" customFormat="1" ht="19.5">
      <c r="B3" s="681" t="s">
        <v>200</v>
      </c>
      <c r="C3" s="682"/>
      <c r="D3" s="682"/>
      <c r="E3" s="682"/>
      <c r="F3" s="682"/>
      <c r="G3" s="682"/>
      <c r="H3" s="682"/>
      <c r="I3" s="682"/>
      <c r="J3" s="682"/>
      <c r="K3" s="682"/>
      <c r="L3" s="682"/>
      <c r="M3" s="682"/>
      <c r="N3" s="682"/>
      <c r="O3" s="682"/>
      <c r="P3" s="682"/>
      <c r="Q3" s="683"/>
    </row>
    <row r="4" spans="2:17" s="46" customFormat="1" ht="17.25">
      <c r="B4" s="701" t="s">
        <v>833</v>
      </c>
      <c r="C4" s="685"/>
      <c r="D4" s="685"/>
      <c r="E4" s="685"/>
      <c r="F4" s="685"/>
      <c r="G4" s="685"/>
      <c r="H4" s="685"/>
      <c r="I4" s="685"/>
      <c r="J4" s="685"/>
      <c r="K4" s="685"/>
      <c r="L4" s="685"/>
      <c r="M4" s="685"/>
      <c r="N4" s="685"/>
      <c r="O4" s="685"/>
      <c r="P4" s="685"/>
      <c r="Q4" s="686"/>
    </row>
    <row r="5" spans="2:17" s="46" customFormat="1" ht="12.75">
      <c r="B5" s="100"/>
      <c r="C5" s="99"/>
      <c r="D5" s="99"/>
      <c r="E5" s="99"/>
      <c r="F5" s="99"/>
      <c r="G5" s="99"/>
      <c r="H5" s="327"/>
      <c r="I5" s="99"/>
      <c r="J5" s="99"/>
      <c r="K5" s="99"/>
      <c r="L5" s="99"/>
      <c r="M5" s="99"/>
      <c r="N5" s="99"/>
      <c r="O5" s="99"/>
      <c r="P5" s="99"/>
      <c r="Q5" s="101"/>
    </row>
    <row r="6" spans="2:17" s="46" customFormat="1" ht="12.75">
      <c r="B6" s="102"/>
      <c r="C6" s="53" t="s">
        <v>0</v>
      </c>
      <c r="D6" s="54"/>
      <c r="E6" s="54"/>
      <c r="F6" s="54"/>
      <c r="G6" s="54"/>
      <c r="H6" s="328"/>
      <c r="I6" s="54"/>
      <c r="J6" s="54"/>
      <c r="K6" s="54"/>
      <c r="L6" s="54"/>
      <c r="M6" s="54"/>
      <c r="N6" s="54"/>
      <c r="O6" s="54"/>
      <c r="P6" s="54"/>
      <c r="Q6" s="103"/>
    </row>
    <row r="7" spans="2:17" s="46" customFormat="1" ht="15.75">
      <c r="B7" s="124" t="s">
        <v>143</v>
      </c>
      <c r="C7" s="124"/>
      <c r="D7" s="125"/>
      <c r="E7" s="125" t="s">
        <v>144</v>
      </c>
      <c r="F7" s="126"/>
      <c r="G7" s="126"/>
      <c r="H7" s="329"/>
      <c r="I7" s="126"/>
      <c r="J7" s="126"/>
      <c r="K7" s="126"/>
      <c r="L7" s="126"/>
      <c r="M7" s="126"/>
      <c r="N7" s="126"/>
      <c r="O7" s="126"/>
      <c r="P7" s="126"/>
    </row>
    <row r="8" spans="2:17" ht="14.25">
      <c r="B8" s="127" t="s">
        <v>145</v>
      </c>
      <c r="C8" s="128"/>
      <c r="D8" s="128"/>
      <c r="E8" s="128"/>
      <c r="F8" s="128"/>
      <c r="G8" s="129" t="s">
        <v>28</v>
      </c>
      <c r="H8" s="330"/>
      <c r="I8" s="128"/>
      <c r="J8" s="695" t="s">
        <v>54</v>
      </c>
      <c r="K8" s="696"/>
      <c r="L8" s="697"/>
      <c r="M8" s="130"/>
      <c r="N8" s="695" t="s">
        <v>55</v>
      </c>
      <c r="O8" s="698"/>
      <c r="P8" s="130"/>
      <c r="Q8" s="131"/>
    </row>
    <row r="9" spans="2:17" ht="18" customHeight="1">
      <c r="B9" s="457" t="s">
        <v>146</v>
      </c>
      <c r="C9" s="680" t="s">
        <v>46</v>
      </c>
      <c r="D9" s="680"/>
      <c r="E9" s="680"/>
      <c r="F9" s="458"/>
      <c r="G9" s="459"/>
      <c r="H9" s="476"/>
      <c r="I9" s="460" t="s">
        <v>57</v>
      </c>
      <c r="J9" s="461" t="s">
        <v>3</v>
      </c>
      <c r="K9" s="462" t="s">
        <v>59</v>
      </c>
      <c r="L9" s="463" t="s">
        <v>147</v>
      </c>
      <c r="M9" s="462"/>
      <c r="N9" s="704" t="s">
        <v>548</v>
      </c>
      <c r="O9" s="705"/>
      <c r="P9" s="467" t="s">
        <v>148</v>
      </c>
      <c r="Q9" s="702" t="s">
        <v>29</v>
      </c>
    </row>
    <row r="10" spans="2:17" ht="18" customHeight="1">
      <c r="B10" s="468" t="s">
        <v>149</v>
      </c>
      <c r="C10" s="469" t="s">
        <v>47</v>
      </c>
      <c r="D10" s="470" t="s">
        <v>48</v>
      </c>
      <c r="E10" s="470" t="s">
        <v>49</v>
      </c>
      <c r="F10" s="470" t="s">
        <v>50</v>
      </c>
      <c r="G10" s="471" t="s">
        <v>51</v>
      </c>
      <c r="H10" s="477"/>
      <c r="I10" s="470" t="s">
        <v>150</v>
      </c>
      <c r="J10" s="472" t="s">
        <v>151</v>
      </c>
      <c r="K10" s="473" t="s">
        <v>152</v>
      </c>
      <c r="L10" s="474" t="s">
        <v>153</v>
      </c>
      <c r="M10" s="473" t="s">
        <v>544</v>
      </c>
      <c r="N10" s="470" t="s">
        <v>69</v>
      </c>
      <c r="O10" s="470" t="s">
        <v>155</v>
      </c>
      <c r="P10" s="475" t="s">
        <v>156</v>
      </c>
      <c r="Q10" s="703"/>
    </row>
    <row r="11" spans="2:17" ht="18" customHeight="1">
      <c r="B11" s="132" t="s">
        <v>157</v>
      </c>
      <c r="C11" s="132"/>
      <c r="D11" s="132"/>
      <c r="E11" s="132"/>
      <c r="Q11" s="134"/>
    </row>
    <row r="12" spans="2:17" ht="30" customHeight="1">
      <c r="B12" s="3">
        <v>1</v>
      </c>
      <c r="C12" s="3" t="s">
        <v>158</v>
      </c>
      <c r="D12" s="3" t="s">
        <v>102</v>
      </c>
      <c r="E12" s="112" t="s">
        <v>159</v>
      </c>
      <c r="F12" s="3" t="s">
        <v>533</v>
      </c>
      <c r="G12" s="3" t="s">
        <v>161</v>
      </c>
      <c r="H12" s="332">
        <f>13508/2</f>
        <v>6754</v>
      </c>
      <c r="I12" s="3">
        <v>15</v>
      </c>
      <c r="J12" s="76">
        <v>7024</v>
      </c>
      <c r="K12" s="135"/>
      <c r="L12" s="67">
        <f>J12</f>
        <v>7024</v>
      </c>
      <c r="M12" s="414"/>
      <c r="N12" s="76">
        <v>780</v>
      </c>
      <c r="O12" s="67">
        <f>N12+M12</f>
        <v>780</v>
      </c>
      <c r="P12" s="137">
        <f>L12-O12</f>
        <v>6244</v>
      </c>
      <c r="Q12" s="140"/>
    </row>
    <row r="13" spans="2:17" ht="30" customHeight="1">
      <c r="B13" s="3">
        <f>B12+1</f>
        <v>2</v>
      </c>
      <c r="C13" s="3" t="s">
        <v>97</v>
      </c>
      <c r="D13" s="3" t="s">
        <v>162</v>
      </c>
      <c r="E13" s="112" t="s">
        <v>163</v>
      </c>
      <c r="F13" s="3" t="s">
        <v>160</v>
      </c>
      <c r="G13" s="3" t="s">
        <v>164</v>
      </c>
      <c r="H13" s="332">
        <v>4621</v>
      </c>
      <c r="I13" s="3">
        <v>15</v>
      </c>
      <c r="J13" s="76">
        <v>4806</v>
      </c>
      <c r="K13" s="135"/>
      <c r="L13" s="67">
        <f t="shared" ref="L13:L26" si="0">J13</f>
        <v>4806</v>
      </c>
      <c r="M13" s="414">
        <v>0</v>
      </c>
      <c r="N13" s="76">
        <v>386</v>
      </c>
      <c r="O13" s="67">
        <f t="shared" ref="O13:O26" si="1">N13+M13</f>
        <v>386</v>
      </c>
      <c r="P13" s="137">
        <f t="shared" ref="P13:P26" si="2">L13-O13</f>
        <v>4420</v>
      </c>
      <c r="Q13" s="138"/>
    </row>
    <row r="14" spans="2:17" ht="30" customHeight="1">
      <c r="B14" s="3">
        <f t="shared" ref="B14:B15" si="3">B13+1</f>
        <v>3</v>
      </c>
      <c r="C14" s="3" t="s">
        <v>84</v>
      </c>
      <c r="D14" s="3" t="s">
        <v>166</v>
      </c>
      <c r="E14" s="112" t="s">
        <v>167</v>
      </c>
      <c r="F14" s="3" t="s">
        <v>160</v>
      </c>
      <c r="G14" s="116" t="s">
        <v>168</v>
      </c>
      <c r="H14" s="332">
        <f t="shared" ref="H14:H20" si="4">9242/2</f>
        <v>4621</v>
      </c>
      <c r="I14" s="3">
        <v>15</v>
      </c>
      <c r="J14" s="76">
        <v>4806</v>
      </c>
      <c r="K14" s="139"/>
      <c r="L14" s="67">
        <f t="shared" si="0"/>
        <v>4806</v>
      </c>
      <c r="M14" s="414"/>
      <c r="N14" s="76">
        <v>386</v>
      </c>
      <c r="O14" s="67">
        <f t="shared" si="1"/>
        <v>386</v>
      </c>
      <c r="P14" s="137">
        <f t="shared" si="2"/>
        <v>4420</v>
      </c>
      <c r="Q14" s="138"/>
    </row>
    <row r="15" spans="2:17" ht="30" customHeight="1">
      <c r="B15" s="3">
        <f t="shared" si="3"/>
        <v>4</v>
      </c>
      <c r="C15" s="3" t="s">
        <v>165</v>
      </c>
      <c r="D15" s="3" t="s">
        <v>169</v>
      </c>
      <c r="E15" s="112" t="s">
        <v>170</v>
      </c>
      <c r="F15" s="3" t="s">
        <v>160</v>
      </c>
      <c r="G15" s="3" t="s">
        <v>171</v>
      </c>
      <c r="H15" s="332">
        <f t="shared" si="4"/>
        <v>4621</v>
      </c>
      <c r="I15" s="3">
        <v>15</v>
      </c>
      <c r="J15" s="76">
        <v>4806</v>
      </c>
      <c r="K15" s="139"/>
      <c r="L15" s="67">
        <f t="shared" si="0"/>
        <v>4806</v>
      </c>
      <c r="M15" s="414"/>
      <c r="N15" s="76">
        <v>386</v>
      </c>
      <c r="O15" s="67">
        <f t="shared" si="1"/>
        <v>386</v>
      </c>
      <c r="P15" s="137">
        <f t="shared" si="2"/>
        <v>4420</v>
      </c>
      <c r="Q15" s="138"/>
    </row>
    <row r="16" spans="2:17" ht="30" customHeight="1">
      <c r="B16" s="3">
        <f t="shared" ref="B16:B20" si="5">B15+1</f>
        <v>5</v>
      </c>
      <c r="C16" s="3" t="s">
        <v>172</v>
      </c>
      <c r="D16" s="3" t="s">
        <v>173</v>
      </c>
      <c r="E16" s="112" t="s">
        <v>174</v>
      </c>
      <c r="F16" s="3" t="s">
        <v>160</v>
      </c>
      <c r="G16" s="3" t="s">
        <v>175</v>
      </c>
      <c r="H16" s="332">
        <f t="shared" si="4"/>
        <v>4621</v>
      </c>
      <c r="I16" s="3">
        <v>15</v>
      </c>
      <c r="J16" s="76">
        <v>4806</v>
      </c>
      <c r="K16" s="139"/>
      <c r="L16" s="67">
        <f t="shared" si="0"/>
        <v>4806</v>
      </c>
      <c r="M16" s="414"/>
      <c r="N16" s="76">
        <v>386</v>
      </c>
      <c r="O16" s="67">
        <f t="shared" si="1"/>
        <v>386</v>
      </c>
      <c r="P16" s="137">
        <f t="shared" si="2"/>
        <v>4420</v>
      </c>
      <c r="Q16" s="138"/>
    </row>
    <row r="17" spans="2:19" ht="30" customHeight="1">
      <c r="B17" s="3">
        <f t="shared" si="5"/>
        <v>6</v>
      </c>
      <c r="C17" s="3" t="s">
        <v>97</v>
      </c>
      <c r="D17" s="3" t="s">
        <v>134</v>
      </c>
      <c r="E17" s="112" t="s">
        <v>176</v>
      </c>
      <c r="F17" s="3" t="s">
        <v>160</v>
      </c>
      <c r="G17" s="3" t="s">
        <v>177</v>
      </c>
      <c r="H17" s="332">
        <f t="shared" si="4"/>
        <v>4621</v>
      </c>
      <c r="I17" s="3">
        <v>15</v>
      </c>
      <c r="J17" s="76">
        <v>4806</v>
      </c>
      <c r="K17" s="139"/>
      <c r="L17" s="67">
        <f t="shared" si="0"/>
        <v>4806</v>
      </c>
      <c r="M17" s="414"/>
      <c r="N17" s="76">
        <v>386</v>
      </c>
      <c r="O17" s="67">
        <f t="shared" si="1"/>
        <v>386</v>
      </c>
      <c r="P17" s="137">
        <f t="shared" si="2"/>
        <v>4420</v>
      </c>
      <c r="Q17" s="138"/>
    </row>
    <row r="18" spans="2:19" ht="30" customHeight="1">
      <c r="B18" s="3">
        <f t="shared" si="5"/>
        <v>7</v>
      </c>
      <c r="C18" s="3" t="s">
        <v>178</v>
      </c>
      <c r="D18" s="3" t="s">
        <v>179</v>
      </c>
      <c r="E18" s="112" t="s">
        <v>180</v>
      </c>
      <c r="F18" s="3" t="s">
        <v>160</v>
      </c>
      <c r="G18" s="3" t="s">
        <v>181</v>
      </c>
      <c r="H18" s="332">
        <f t="shared" si="4"/>
        <v>4621</v>
      </c>
      <c r="I18" s="3">
        <v>15</v>
      </c>
      <c r="J18" s="76">
        <v>4806</v>
      </c>
      <c r="K18" s="139"/>
      <c r="L18" s="67">
        <f t="shared" si="0"/>
        <v>4806</v>
      </c>
      <c r="M18" s="414"/>
      <c r="N18" s="76">
        <v>386</v>
      </c>
      <c r="O18" s="67">
        <f t="shared" si="1"/>
        <v>386</v>
      </c>
      <c r="P18" s="137">
        <f t="shared" si="2"/>
        <v>4420</v>
      </c>
      <c r="Q18" s="138"/>
    </row>
    <row r="19" spans="2:19" ht="30" customHeight="1">
      <c r="B19" s="3">
        <f t="shared" si="5"/>
        <v>8</v>
      </c>
      <c r="C19" s="3" t="s">
        <v>102</v>
      </c>
      <c r="D19" s="3" t="s">
        <v>84</v>
      </c>
      <c r="E19" s="112" t="s">
        <v>182</v>
      </c>
      <c r="F19" s="3" t="s">
        <v>160</v>
      </c>
      <c r="G19" s="3"/>
      <c r="H19" s="332">
        <f t="shared" si="4"/>
        <v>4621</v>
      </c>
      <c r="I19" s="3">
        <v>15</v>
      </c>
      <c r="J19" s="76">
        <v>4806</v>
      </c>
      <c r="K19" s="139"/>
      <c r="L19" s="67">
        <f t="shared" si="0"/>
        <v>4806</v>
      </c>
      <c r="M19" s="414"/>
      <c r="N19" s="76">
        <v>386</v>
      </c>
      <c r="O19" s="67">
        <f t="shared" si="1"/>
        <v>386</v>
      </c>
      <c r="P19" s="137">
        <f t="shared" si="2"/>
        <v>4420</v>
      </c>
      <c r="Q19" s="138"/>
    </row>
    <row r="20" spans="2:19" ht="30" customHeight="1">
      <c r="B20" s="3">
        <f t="shared" si="5"/>
        <v>9</v>
      </c>
      <c r="C20" s="112" t="s">
        <v>98</v>
      </c>
      <c r="D20" s="112" t="s">
        <v>183</v>
      </c>
      <c r="E20" s="112" t="s">
        <v>184</v>
      </c>
      <c r="F20" s="112" t="s">
        <v>160</v>
      </c>
      <c r="G20" s="112"/>
      <c r="H20" s="332">
        <f t="shared" si="4"/>
        <v>4621</v>
      </c>
      <c r="I20" s="112">
        <v>15</v>
      </c>
      <c r="J20" s="76">
        <v>4806</v>
      </c>
      <c r="K20" s="280"/>
      <c r="L20" s="67">
        <f t="shared" si="0"/>
        <v>4806</v>
      </c>
      <c r="M20" s="414"/>
      <c r="N20" s="76">
        <v>386</v>
      </c>
      <c r="O20" s="67">
        <f t="shared" si="1"/>
        <v>386</v>
      </c>
      <c r="P20" s="137">
        <f t="shared" si="2"/>
        <v>4420</v>
      </c>
      <c r="Q20" s="138"/>
    </row>
    <row r="21" spans="2:19" ht="30" customHeight="1">
      <c r="B21" s="3">
        <v>10</v>
      </c>
      <c r="C21" s="116" t="s">
        <v>162</v>
      </c>
      <c r="D21" s="116" t="s">
        <v>205</v>
      </c>
      <c r="E21" s="247" t="s">
        <v>206</v>
      </c>
      <c r="F21" s="116" t="s">
        <v>160</v>
      </c>
      <c r="G21" s="116"/>
      <c r="H21" s="333">
        <f>9242/2</f>
        <v>4621</v>
      </c>
      <c r="I21" s="116">
        <v>15</v>
      </c>
      <c r="J21" s="76">
        <v>4806</v>
      </c>
      <c r="K21" s="139"/>
      <c r="L21" s="67">
        <f t="shared" si="0"/>
        <v>4806</v>
      </c>
      <c r="M21" s="136"/>
      <c r="N21" s="76">
        <v>386</v>
      </c>
      <c r="O21" s="67">
        <f t="shared" si="1"/>
        <v>386</v>
      </c>
      <c r="P21" s="137">
        <f t="shared" si="2"/>
        <v>4420</v>
      </c>
      <c r="Q21" s="134"/>
    </row>
    <row r="22" spans="2:19" ht="24.75" customHeight="1">
      <c r="B22" s="3">
        <v>11</v>
      </c>
      <c r="C22" s="140" t="s">
        <v>76</v>
      </c>
      <c r="D22" s="140" t="s">
        <v>80</v>
      </c>
      <c r="E22" s="140" t="s">
        <v>190</v>
      </c>
      <c r="F22" s="140" t="s">
        <v>160</v>
      </c>
      <c r="G22" s="140"/>
      <c r="H22" s="334">
        <f>9242/2</f>
        <v>4621</v>
      </c>
      <c r="I22" s="140">
        <v>15</v>
      </c>
      <c r="J22" s="76">
        <v>4806</v>
      </c>
      <c r="K22" s="249"/>
      <c r="L22" s="67">
        <f t="shared" si="0"/>
        <v>4806</v>
      </c>
      <c r="M22" s="249"/>
      <c r="N22" s="76">
        <v>386</v>
      </c>
      <c r="O22" s="67">
        <f t="shared" si="1"/>
        <v>386</v>
      </c>
      <c r="P22" s="137">
        <f t="shared" si="2"/>
        <v>4420</v>
      </c>
      <c r="Q22" s="140"/>
      <c r="R22" s="111" t="s">
        <v>658</v>
      </c>
      <c r="S22" s="111" t="s">
        <v>764</v>
      </c>
    </row>
    <row r="23" spans="2:19" ht="24.75" customHeight="1">
      <c r="B23" s="3">
        <v>12</v>
      </c>
      <c r="C23" s="140" t="s">
        <v>607</v>
      </c>
      <c r="D23" s="140" t="s">
        <v>102</v>
      </c>
      <c r="E23" s="140" t="s">
        <v>608</v>
      </c>
      <c r="F23" s="140" t="s">
        <v>160</v>
      </c>
      <c r="G23" s="140"/>
      <c r="H23" s="334"/>
      <c r="I23" s="140">
        <v>15</v>
      </c>
      <c r="J23" s="76">
        <v>4806</v>
      </c>
      <c r="K23" s="249"/>
      <c r="L23" s="67">
        <f t="shared" si="0"/>
        <v>4806</v>
      </c>
      <c r="M23" s="249"/>
      <c r="N23" s="76">
        <v>386</v>
      </c>
      <c r="O23" s="67">
        <f t="shared" si="1"/>
        <v>386</v>
      </c>
      <c r="P23" s="137">
        <f t="shared" si="2"/>
        <v>4420</v>
      </c>
      <c r="Q23" s="140"/>
      <c r="R23" s="111" t="s">
        <v>657</v>
      </c>
      <c r="S23" s="111" t="s">
        <v>762</v>
      </c>
    </row>
    <row r="24" spans="2:19" ht="24.75" customHeight="1">
      <c r="B24" s="3">
        <v>13</v>
      </c>
      <c r="C24" s="140" t="s">
        <v>269</v>
      </c>
      <c r="D24" s="140" t="s">
        <v>689</v>
      </c>
      <c r="E24" s="140" t="s">
        <v>690</v>
      </c>
      <c r="F24" s="140" t="s">
        <v>160</v>
      </c>
      <c r="G24" s="140"/>
      <c r="H24" s="334"/>
      <c r="I24" s="140">
        <v>15</v>
      </c>
      <c r="J24" s="76">
        <v>4806</v>
      </c>
      <c r="K24" s="249"/>
      <c r="L24" s="67">
        <f t="shared" si="0"/>
        <v>4806</v>
      </c>
      <c r="M24" s="249"/>
      <c r="N24" s="76">
        <v>386</v>
      </c>
      <c r="O24" s="67">
        <f t="shared" si="1"/>
        <v>386</v>
      </c>
      <c r="P24" s="137">
        <f t="shared" si="2"/>
        <v>4420</v>
      </c>
      <c r="Q24" s="140"/>
      <c r="R24" s="407" t="s">
        <v>691</v>
      </c>
      <c r="S24" s="111" t="s">
        <v>763</v>
      </c>
    </row>
    <row r="25" spans="2:19" ht="24.75" customHeight="1">
      <c r="B25" s="3">
        <v>14</v>
      </c>
      <c r="C25" s="140" t="s">
        <v>698</v>
      </c>
      <c r="D25" s="140" t="s">
        <v>179</v>
      </c>
      <c r="E25" s="140" t="s">
        <v>699</v>
      </c>
      <c r="F25" s="140" t="s">
        <v>160</v>
      </c>
      <c r="G25" s="140"/>
      <c r="H25" s="334"/>
      <c r="I25" s="140">
        <v>15</v>
      </c>
      <c r="J25" s="76">
        <v>4806</v>
      </c>
      <c r="K25" s="249"/>
      <c r="L25" s="67">
        <f t="shared" si="0"/>
        <v>4806</v>
      </c>
      <c r="M25" s="249"/>
      <c r="N25" s="249">
        <v>386</v>
      </c>
      <c r="O25" s="67">
        <f t="shared" si="1"/>
        <v>386</v>
      </c>
      <c r="P25" s="137">
        <f t="shared" si="2"/>
        <v>4420</v>
      </c>
      <c r="Q25" s="140"/>
      <c r="R25" s="407" t="s">
        <v>702</v>
      </c>
      <c r="S25" s="111" t="s">
        <v>762</v>
      </c>
    </row>
    <row r="26" spans="2:19" ht="24.75" customHeight="1">
      <c r="B26" s="3">
        <v>15</v>
      </c>
      <c r="C26" s="140" t="s">
        <v>822</v>
      </c>
      <c r="D26" s="140" t="s">
        <v>823</v>
      </c>
      <c r="E26" s="140" t="s">
        <v>837</v>
      </c>
      <c r="F26" s="140" t="s">
        <v>160</v>
      </c>
      <c r="G26" s="140"/>
      <c r="H26" s="334"/>
      <c r="I26" s="140">
        <v>5</v>
      </c>
      <c r="J26" s="76">
        <v>1602</v>
      </c>
      <c r="K26" s="249"/>
      <c r="L26" s="67">
        <f t="shared" si="0"/>
        <v>1602</v>
      </c>
      <c r="M26" s="249"/>
      <c r="N26" s="249">
        <v>128.66</v>
      </c>
      <c r="O26" s="67">
        <f t="shared" si="1"/>
        <v>128.66</v>
      </c>
      <c r="P26" s="75">
        <f t="shared" si="2"/>
        <v>1473.34</v>
      </c>
      <c r="Q26" s="140"/>
      <c r="R26" s="407"/>
    </row>
    <row r="27" spans="2:19" ht="22.5" customHeight="1" thickBot="1">
      <c r="B27" s="699" t="s">
        <v>44</v>
      </c>
      <c r="C27" s="700"/>
      <c r="D27" s="700"/>
      <c r="E27" s="700"/>
      <c r="F27" s="700"/>
      <c r="G27" s="700"/>
      <c r="H27" s="700"/>
      <c r="I27" s="700"/>
      <c r="J27" s="558">
        <f>SUM(J12:K26)</f>
        <v>71104</v>
      </c>
      <c r="K27" s="558">
        <f t="shared" ref="K27" si="6">SUM(K12:K22)</f>
        <v>0</v>
      </c>
      <c r="L27" s="558">
        <f>SUM(L12:L26)</f>
        <v>71104</v>
      </c>
      <c r="M27" s="558">
        <f>SUM(M12:M22)</f>
        <v>0</v>
      </c>
      <c r="N27" s="558">
        <f>SUM(N12:N26)</f>
        <v>5926.66</v>
      </c>
      <c r="O27" s="558">
        <f>SUM(O12:O26)</f>
        <v>5926.66</v>
      </c>
      <c r="P27" s="248">
        <f>SUM(P12:P26)</f>
        <v>65177.34</v>
      </c>
      <c r="Q27" s="141"/>
    </row>
    <row r="28" spans="2:19" ht="22.5" customHeight="1" thickTop="1">
      <c r="B28" s="142"/>
      <c r="C28" s="142"/>
      <c r="D28" s="142"/>
      <c r="E28" s="142"/>
      <c r="F28" s="142"/>
      <c r="G28" s="142"/>
      <c r="H28" s="335"/>
      <c r="I28" s="142"/>
      <c r="J28" s="143"/>
      <c r="K28" s="143"/>
      <c r="L28" s="143"/>
      <c r="M28" s="143"/>
      <c r="N28" s="143"/>
      <c r="O28" s="143"/>
      <c r="P28" s="144" t="s">
        <v>45</v>
      </c>
      <c r="Q28" s="141"/>
    </row>
    <row r="29" spans="2:19" ht="22.5" customHeight="1">
      <c r="B29" s="142"/>
      <c r="C29" s="142"/>
      <c r="D29" s="142"/>
      <c r="E29" s="142"/>
      <c r="F29" s="142"/>
      <c r="G29" s="142"/>
      <c r="H29" s="335"/>
      <c r="I29" s="142"/>
      <c r="J29" s="143"/>
      <c r="K29" s="143"/>
      <c r="L29" s="143"/>
      <c r="M29" s="143"/>
      <c r="N29" s="143"/>
      <c r="O29" s="143"/>
      <c r="P29" s="143"/>
      <c r="Q29" s="141"/>
    </row>
    <row r="30" spans="2:19" ht="22.5" customHeight="1">
      <c r="B30" s="146"/>
      <c r="C30" s="146"/>
      <c r="D30" s="146"/>
      <c r="E30" s="146"/>
      <c r="F30" s="142"/>
      <c r="G30" s="142"/>
      <c r="H30" s="335"/>
      <c r="I30" s="692"/>
      <c r="J30" s="692"/>
      <c r="K30" s="692"/>
      <c r="L30" s="692"/>
      <c r="M30" s="692"/>
      <c r="N30" s="143"/>
      <c r="O30" s="690"/>
      <c r="P30" s="690"/>
      <c r="Q30" s="690"/>
    </row>
    <row r="31" spans="2:19" ht="15" customHeight="1">
      <c r="B31" s="675" t="s">
        <v>738</v>
      </c>
      <c r="C31" s="675"/>
      <c r="D31" s="675"/>
      <c r="E31" s="675"/>
      <c r="F31" s="145"/>
      <c r="G31" s="145"/>
      <c r="H31" s="336"/>
      <c r="I31" s="675" t="s">
        <v>783</v>
      </c>
      <c r="J31" s="675"/>
      <c r="K31" s="675"/>
      <c r="L31" s="675"/>
      <c r="M31" s="675"/>
      <c r="O31" s="675" t="s">
        <v>673</v>
      </c>
      <c r="P31" s="675"/>
      <c r="Q31" s="675"/>
    </row>
    <row r="32" spans="2:19" ht="12.75">
      <c r="B32" s="675" t="s">
        <v>139</v>
      </c>
      <c r="C32" s="675"/>
      <c r="D32" s="675"/>
      <c r="E32" s="675"/>
      <c r="F32" s="145"/>
      <c r="I32" s="675" t="s">
        <v>140</v>
      </c>
      <c r="J32" s="675"/>
      <c r="K32" s="675"/>
      <c r="L32" s="675"/>
      <c r="M32" s="675"/>
      <c r="O32" s="691" t="s">
        <v>613</v>
      </c>
      <c r="P32" s="691"/>
      <c r="Q32" s="691"/>
    </row>
    <row r="33" spans="10:16">
      <c r="J33" s="111"/>
      <c r="L33" s="111"/>
    </row>
    <row r="34" spans="10:16" ht="15" customHeight="1">
      <c r="J34" s="110"/>
      <c r="L34" s="110"/>
      <c r="N34" s="110"/>
      <c r="O34" s="110"/>
      <c r="P34" s="110">
        <f>L27-O27</f>
        <v>65177.34</v>
      </c>
    </row>
    <row r="35" spans="10:16" ht="15" customHeight="1">
      <c r="J35" s="111"/>
      <c r="L35" s="111"/>
      <c r="P35" s="110">
        <f>P27-P34</f>
        <v>0</v>
      </c>
    </row>
  </sheetData>
  <mergeCells count="17">
    <mergeCell ref="B2:P2"/>
    <mergeCell ref="J8:L8"/>
    <mergeCell ref="N8:O8"/>
    <mergeCell ref="C9:E9"/>
    <mergeCell ref="B27:I27"/>
    <mergeCell ref="B3:Q3"/>
    <mergeCell ref="B4:Q4"/>
    <mergeCell ref="Q9:Q10"/>
    <mergeCell ref="N9:O9"/>
    <mergeCell ref="I32:M32"/>
    <mergeCell ref="B31:E31"/>
    <mergeCell ref="B32:E32"/>
    <mergeCell ref="O30:Q30"/>
    <mergeCell ref="O31:Q31"/>
    <mergeCell ref="O32:Q32"/>
    <mergeCell ref="I30:M30"/>
    <mergeCell ref="I31:M31"/>
  </mergeCells>
  <pageMargins left="0.7" right="0.7" top="0.75" bottom="0.75" header="0.3" footer="0.3"/>
  <pageSetup paperSize="5" scale="98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U50"/>
  <sheetViews>
    <sheetView topLeftCell="A13" workbookViewId="0">
      <selection activeCell="N21" sqref="N21"/>
    </sheetView>
  </sheetViews>
  <sheetFormatPr baseColWidth="10" defaultRowHeight="12.75"/>
  <cols>
    <col min="1" max="1" width="2.5703125" style="46" customWidth="1"/>
    <col min="2" max="2" width="3.28515625" style="46" customWidth="1"/>
    <col min="3" max="3" width="9" style="46" customWidth="1"/>
    <col min="4" max="4" width="9.28515625" style="46" customWidth="1"/>
    <col min="5" max="5" width="13.85546875" style="46" customWidth="1"/>
    <col min="6" max="6" width="17.85546875" style="46" customWidth="1"/>
    <col min="7" max="7" width="4.42578125" style="46" hidden="1" customWidth="1"/>
    <col min="8" max="8" width="4.28515625" style="46" customWidth="1"/>
    <col min="9" max="9" width="9.140625" style="46" hidden="1" customWidth="1"/>
    <col min="10" max="10" width="9.42578125" style="338" hidden="1" customWidth="1"/>
    <col min="11" max="11" width="12.140625" style="47" customWidth="1"/>
    <col min="12" max="12" width="12.85546875" style="47" hidden="1" customWidth="1"/>
    <col min="13" max="13" width="12" style="47" customWidth="1"/>
    <col min="14" max="15" width="10.140625" style="47" customWidth="1"/>
    <col min="16" max="16" width="11.28515625" style="47" customWidth="1"/>
    <col min="17" max="17" width="11.42578125" style="47" customWidth="1"/>
    <col min="18" max="18" width="14.42578125" style="47" customWidth="1"/>
    <col min="19" max="19" width="29.5703125" style="46" customWidth="1"/>
    <col min="20" max="20" width="28" style="46" customWidth="1"/>
    <col min="21" max="21" width="17.140625" style="46" customWidth="1"/>
    <col min="22" max="16384" width="11.42578125" style="46"/>
  </cols>
  <sheetData>
    <row r="2" spans="2:21">
      <c r="B2" s="48"/>
      <c r="C2" s="49"/>
      <c r="D2" s="49"/>
      <c r="E2" s="49"/>
      <c r="F2" s="49"/>
      <c r="G2" s="49"/>
      <c r="H2" s="49"/>
      <c r="I2" s="49"/>
      <c r="J2" s="337"/>
      <c r="K2" s="50"/>
      <c r="L2" s="50"/>
      <c r="M2" s="50"/>
      <c r="N2" s="50"/>
      <c r="O2" s="50"/>
      <c r="P2" s="50"/>
      <c r="Q2" s="50"/>
      <c r="R2" s="50"/>
      <c r="S2" s="51"/>
    </row>
    <row r="3" spans="2:21" ht="19.5">
      <c r="B3" s="710" t="s">
        <v>200</v>
      </c>
      <c r="C3" s="711"/>
      <c r="D3" s="711"/>
      <c r="E3" s="711"/>
      <c r="F3" s="711"/>
      <c r="G3" s="711"/>
      <c r="H3" s="711"/>
      <c r="I3" s="711"/>
      <c r="J3" s="711"/>
      <c r="K3" s="711"/>
      <c r="L3" s="711"/>
      <c r="M3" s="711"/>
      <c r="N3" s="711"/>
      <c r="O3" s="711"/>
      <c r="P3" s="711"/>
      <c r="Q3" s="711"/>
      <c r="R3" s="711"/>
      <c r="S3" s="712"/>
    </row>
    <row r="4" spans="2:21" ht="17.25">
      <c r="B4" s="684" t="s">
        <v>834</v>
      </c>
      <c r="C4" s="713"/>
      <c r="D4" s="713"/>
      <c r="E4" s="713"/>
      <c r="F4" s="713"/>
      <c r="G4" s="713"/>
      <c r="H4" s="713"/>
      <c r="I4" s="713"/>
      <c r="J4" s="713"/>
      <c r="K4" s="713"/>
      <c r="L4" s="713"/>
      <c r="M4" s="713"/>
      <c r="N4" s="713"/>
      <c r="O4" s="713"/>
      <c r="P4" s="713"/>
      <c r="Q4" s="713"/>
      <c r="R4" s="713"/>
      <c r="S4" s="714"/>
    </row>
    <row r="5" spans="2:21">
      <c r="B5" s="52"/>
      <c r="C5" s="53" t="s">
        <v>0</v>
      </c>
      <c r="D5" s="54"/>
      <c r="E5" s="54"/>
      <c r="K5" s="55"/>
      <c r="L5" s="55"/>
      <c r="M5" s="55"/>
      <c r="N5" s="55"/>
      <c r="O5" s="55"/>
      <c r="P5" s="55"/>
      <c r="Q5" s="55"/>
      <c r="R5" s="55"/>
      <c r="S5" s="56"/>
    </row>
    <row r="6" spans="2:21">
      <c r="B6" s="57"/>
      <c r="C6" s="246" t="s">
        <v>516</v>
      </c>
      <c r="D6" s="246"/>
      <c r="E6" s="58"/>
      <c r="F6" s="58"/>
      <c r="G6" s="58"/>
      <c r="H6" s="58"/>
      <c r="I6" s="58"/>
      <c r="J6" s="339"/>
      <c r="K6" s="59"/>
      <c r="L6" s="59"/>
      <c r="M6" s="59"/>
      <c r="N6" s="59"/>
      <c r="O6" s="59"/>
      <c r="P6" s="59"/>
      <c r="Q6" s="59"/>
      <c r="R6" s="59"/>
      <c r="S6" s="60"/>
    </row>
    <row r="7" spans="2:21" ht="15.75" customHeight="1">
      <c r="B7" s="478" t="s">
        <v>53</v>
      </c>
      <c r="C7" s="479"/>
      <c r="D7" s="479"/>
      <c r="E7" s="479"/>
      <c r="F7" s="707"/>
      <c r="G7" s="707"/>
      <c r="H7" s="707"/>
      <c r="I7" s="480"/>
      <c r="J7" s="480"/>
      <c r="K7" s="706" t="s">
        <v>54</v>
      </c>
      <c r="L7" s="706"/>
      <c r="M7" s="706"/>
      <c r="N7" s="706"/>
      <c r="O7" s="706"/>
      <c r="P7" s="708" t="s">
        <v>55</v>
      </c>
      <c r="Q7" s="709"/>
      <c r="R7" s="481"/>
      <c r="S7" s="715" t="s">
        <v>29</v>
      </c>
    </row>
    <row r="8" spans="2:21">
      <c r="B8" s="482" t="s">
        <v>56</v>
      </c>
      <c r="C8" s="483" t="s">
        <v>46</v>
      </c>
      <c r="D8" s="484"/>
      <c r="E8" s="484"/>
      <c r="F8" s="485"/>
      <c r="G8" s="486"/>
      <c r="H8" s="487" t="s">
        <v>57</v>
      </c>
      <c r="I8" s="487"/>
      <c r="J8" s="487"/>
      <c r="K8" s="488" t="s">
        <v>58</v>
      </c>
      <c r="L8" s="489" t="s">
        <v>59</v>
      </c>
      <c r="M8" s="488" t="s">
        <v>60</v>
      </c>
      <c r="N8" s="488" t="s">
        <v>61</v>
      </c>
      <c r="O8" s="488"/>
      <c r="P8" s="488"/>
      <c r="Q8" s="488" t="s">
        <v>62</v>
      </c>
      <c r="R8" s="490"/>
      <c r="S8" s="716"/>
    </row>
    <row r="9" spans="2:21">
      <c r="B9" s="491" t="s">
        <v>63</v>
      </c>
      <c r="C9" s="492" t="s">
        <v>47</v>
      </c>
      <c r="D9" s="492" t="s">
        <v>48</v>
      </c>
      <c r="E9" s="492" t="s">
        <v>49</v>
      </c>
      <c r="F9" s="492" t="s">
        <v>50</v>
      </c>
      <c r="G9" s="493" t="s">
        <v>51</v>
      </c>
      <c r="H9" s="494" t="s">
        <v>64</v>
      </c>
      <c r="I9" s="494"/>
      <c r="J9" s="494"/>
      <c r="K9" s="495" t="s">
        <v>65</v>
      </c>
      <c r="L9" s="496" t="s">
        <v>66</v>
      </c>
      <c r="M9" s="495" t="s">
        <v>67</v>
      </c>
      <c r="N9" s="495" t="s">
        <v>68</v>
      </c>
      <c r="O9" s="495" t="s">
        <v>544</v>
      </c>
      <c r="P9" s="495" t="s">
        <v>69</v>
      </c>
      <c r="Q9" s="495" t="s">
        <v>70</v>
      </c>
      <c r="R9" s="580" t="s">
        <v>71</v>
      </c>
      <c r="S9" s="717"/>
    </row>
    <row r="10" spans="2:21">
      <c r="B10" s="96"/>
      <c r="C10" s="61"/>
      <c r="D10" s="61"/>
      <c r="E10" s="61"/>
      <c r="F10" s="61"/>
      <c r="G10" s="61"/>
      <c r="H10" s="61"/>
      <c r="I10" s="61"/>
      <c r="J10" s="340"/>
      <c r="K10" s="62"/>
      <c r="L10" s="62"/>
      <c r="M10" s="62"/>
      <c r="N10" s="62"/>
      <c r="O10" s="62"/>
      <c r="P10" s="62"/>
      <c r="Q10" s="62"/>
      <c r="R10" s="62"/>
      <c r="S10" s="63"/>
    </row>
    <row r="11" spans="2:21" ht="27.95" customHeight="1">
      <c r="B11" s="7">
        <v>1</v>
      </c>
      <c r="C11" s="2" t="s">
        <v>72</v>
      </c>
      <c r="D11" s="2" t="s">
        <v>73</v>
      </c>
      <c r="E11" s="2" t="s">
        <v>74</v>
      </c>
      <c r="F11" s="2" t="s">
        <v>75</v>
      </c>
      <c r="G11" s="73"/>
      <c r="H11" s="74">
        <v>15</v>
      </c>
      <c r="I11" s="75">
        <f>K11/15</f>
        <v>242.53333333333333</v>
      </c>
      <c r="J11" s="342">
        <f>6996/2</f>
        <v>3498</v>
      </c>
      <c r="K11" s="76">
        <v>3638</v>
      </c>
      <c r="L11" s="76"/>
      <c r="M11" s="76">
        <f>K11</f>
        <v>3638</v>
      </c>
      <c r="N11" s="76">
        <v>0</v>
      </c>
      <c r="O11" s="76"/>
      <c r="P11" s="76">
        <v>150</v>
      </c>
      <c r="Q11" s="76">
        <f>O11+P11</f>
        <v>150</v>
      </c>
      <c r="R11" s="107">
        <f>M11-Q11</f>
        <v>3488</v>
      </c>
      <c r="S11" s="615"/>
      <c r="T11" s="616"/>
      <c r="U11" s="47">
        <v>2746.82</v>
      </c>
    </row>
    <row r="12" spans="2:21" ht="27.95" customHeight="1">
      <c r="B12" s="1">
        <v>2</v>
      </c>
      <c r="C12" s="2" t="s">
        <v>76</v>
      </c>
      <c r="D12" s="2" t="s">
        <v>77</v>
      </c>
      <c r="E12" s="2" t="s">
        <v>78</v>
      </c>
      <c r="F12" s="2" t="s">
        <v>79</v>
      </c>
      <c r="G12" s="65"/>
      <c r="H12" s="65">
        <v>15</v>
      </c>
      <c r="I12" s="66">
        <f t="shared" ref="I12:I19" si="0">K12/15</f>
        <v>248.53333333333333</v>
      </c>
      <c r="J12" s="341">
        <f>7170/2</f>
        <v>3585</v>
      </c>
      <c r="K12" s="76">
        <v>3728</v>
      </c>
      <c r="L12" s="67"/>
      <c r="M12" s="67">
        <f t="shared" ref="M12:M32" si="1">K12</f>
        <v>3728</v>
      </c>
      <c r="N12" s="67">
        <v>0</v>
      </c>
      <c r="O12" s="76"/>
      <c r="P12" s="67">
        <v>269</v>
      </c>
      <c r="Q12" s="68">
        <f t="shared" ref="Q12:Q32" si="2">P12</f>
        <v>269</v>
      </c>
      <c r="R12" s="69">
        <f t="shared" ref="R12:R32" si="3">M12+N12-Q12-O12</f>
        <v>3459</v>
      </c>
      <c r="S12" s="72"/>
      <c r="U12" s="47">
        <v>3321.69</v>
      </c>
    </row>
    <row r="13" spans="2:21" ht="27.95" customHeight="1">
      <c r="B13" s="1">
        <v>3</v>
      </c>
      <c r="C13" s="2" t="s">
        <v>137</v>
      </c>
      <c r="D13" s="2" t="s">
        <v>112</v>
      </c>
      <c r="E13" s="2" t="s">
        <v>82</v>
      </c>
      <c r="F13" s="2" t="s">
        <v>75</v>
      </c>
      <c r="G13" s="65"/>
      <c r="H13" s="65">
        <v>15</v>
      </c>
      <c r="I13" s="66">
        <f t="shared" si="0"/>
        <v>242.53333333333333</v>
      </c>
      <c r="J13" s="341">
        <f>6996/2</f>
        <v>3498</v>
      </c>
      <c r="K13" s="76">
        <v>3638</v>
      </c>
      <c r="L13" s="67"/>
      <c r="M13" s="67">
        <f t="shared" si="1"/>
        <v>3638</v>
      </c>
      <c r="N13" s="67">
        <v>0</v>
      </c>
      <c r="O13" s="67"/>
      <c r="P13" s="67">
        <v>150</v>
      </c>
      <c r="Q13" s="68">
        <f t="shared" si="2"/>
        <v>150</v>
      </c>
      <c r="R13" s="69">
        <f t="shared" si="3"/>
        <v>3488</v>
      </c>
      <c r="S13" s="72"/>
      <c r="U13" s="47">
        <v>3246.82</v>
      </c>
    </row>
    <row r="14" spans="2:21" ht="27.95" customHeight="1">
      <c r="B14" s="1">
        <f>B13+1</f>
        <v>4</v>
      </c>
      <c r="C14" s="2" t="s">
        <v>83</v>
      </c>
      <c r="D14" s="2" t="s">
        <v>84</v>
      </c>
      <c r="E14" s="2" t="s">
        <v>85</v>
      </c>
      <c r="F14" s="2" t="s">
        <v>86</v>
      </c>
      <c r="G14" s="73"/>
      <c r="H14" s="74">
        <v>15</v>
      </c>
      <c r="I14" s="75">
        <f t="shared" si="0"/>
        <v>346.06666666666666</v>
      </c>
      <c r="J14" s="342">
        <f>9984/2</f>
        <v>4992</v>
      </c>
      <c r="K14" s="76">
        <v>5191</v>
      </c>
      <c r="L14" s="76"/>
      <c r="M14" s="67">
        <f t="shared" si="1"/>
        <v>5191</v>
      </c>
      <c r="N14" s="76">
        <v>0</v>
      </c>
      <c r="O14" s="76"/>
      <c r="P14" s="76">
        <v>447</v>
      </c>
      <c r="Q14" s="68">
        <f t="shared" si="2"/>
        <v>447</v>
      </c>
      <c r="R14" s="69">
        <f t="shared" si="3"/>
        <v>4744</v>
      </c>
      <c r="S14" s="77"/>
      <c r="U14" s="47">
        <v>2840.49</v>
      </c>
    </row>
    <row r="15" spans="2:21" ht="27.95" customHeight="1">
      <c r="B15" s="1">
        <f t="shared" ref="B15:B32" si="4">B14+1</f>
        <v>5</v>
      </c>
      <c r="C15" s="6" t="s">
        <v>165</v>
      </c>
      <c r="D15" s="6" t="s">
        <v>198</v>
      </c>
      <c r="E15" s="6" t="s">
        <v>203</v>
      </c>
      <c r="F15" s="6" t="s">
        <v>75</v>
      </c>
      <c r="G15" s="64"/>
      <c r="H15" s="65">
        <v>15</v>
      </c>
      <c r="I15" s="66">
        <f t="shared" si="0"/>
        <v>267.66666666666669</v>
      </c>
      <c r="J15" s="341">
        <v>3861.14</v>
      </c>
      <c r="K15" s="76">
        <v>4015</v>
      </c>
      <c r="L15" s="67"/>
      <c r="M15" s="67">
        <f t="shared" si="1"/>
        <v>4015</v>
      </c>
      <c r="N15" s="67">
        <v>0</v>
      </c>
      <c r="O15" s="67"/>
      <c r="P15" s="67">
        <v>300</v>
      </c>
      <c r="Q15" s="68">
        <f t="shared" si="2"/>
        <v>300</v>
      </c>
      <c r="R15" s="69">
        <f t="shared" si="3"/>
        <v>3715</v>
      </c>
      <c r="S15" s="72"/>
      <c r="U15" s="47">
        <v>3000.9</v>
      </c>
    </row>
    <row r="16" spans="2:21" ht="27.95" customHeight="1">
      <c r="B16" s="1">
        <f t="shared" si="4"/>
        <v>6</v>
      </c>
      <c r="C16" s="2" t="s">
        <v>87</v>
      </c>
      <c r="D16" s="2" t="s">
        <v>88</v>
      </c>
      <c r="E16" s="2" t="s">
        <v>89</v>
      </c>
      <c r="F16" s="2" t="s">
        <v>75</v>
      </c>
      <c r="G16" s="64"/>
      <c r="H16" s="65">
        <v>15</v>
      </c>
      <c r="I16" s="66">
        <f t="shared" si="0"/>
        <v>285.06666666666666</v>
      </c>
      <c r="J16" s="341">
        <f>8224/2</f>
        <v>4112</v>
      </c>
      <c r="K16" s="76">
        <v>4276</v>
      </c>
      <c r="L16" s="67"/>
      <c r="M16" s="67">
        <f t="shared" si="1"/>
        <v>4276</v>
      </c>
      <c r="N16" s="67">
        <v>0</v>
      </c>
      <c r="O16" s="67"/>
      <c r="P16" s="67">
        <v>328</v>
      </c>
      <c r="Q16" s="68">
        <f t="shared" si="2"/>
        <v>328</v>
      </c>
      <c r="R16" s="69">
        <f t="shared" si="3"/>
        <v>3948</v>
      </c>
      <c r="S16" s="72"/>
      <c r="T16" s="71"/>
      <c r="U16" s="47">
        <v>3646.75</v>
      </c>
    </row>
    <row r="17" spans="2:21" ht="27.95" customHeight="1">
      <c r="B17" s="1">
        <f t="shared" si="4"/>
        <v>7</v>
      </c>
      <c r="C17" s="2" t="s">
        <v>77</v>
      </c>
      <c r="D17" s="2" t="s">
        <v>90</v>
      </c>
      <c r="E17" s="2" t="s">
        <v>91</v>
      </c>
      <c r="F17" s="2" t="s">
        <v>92</v>
      </c>
      <c r="G17" s="64"/>
      <c r="H17" s="65">
        <v>15</v>
      </c>
      <c r="I17" s="66">
        <f>K17/15</f>
        <v>478.93333333333334</v>
      </c>
      <c r="J17" s="341">
        <f>13816/2</f>
        <v>6908</v>
      </c>
      <c r="K17" s="76">
        <v>7184</v>
      </c>
      <c r="L17" s="67"/>
      <c r="M17" s="67">
        <f t="shared" si="1"/>
        <v>7184</v>
      </c>
      <c r="N17" s="67">
        <v>0</v>
      </c>
      <c r="O17" s="67"/>
      <c r="P17" s="67">
        <v>814</v>
      </c>
      <c r="Q17" s="68">
        <f t="shared" si="2"/>
        <v>814</v>
      </c>
      <c r="R17" s="69">
        <f t="shared" si="3"/>
        <v>6370</v>
      </c>
      <c r="S17" s="72"/>
      <c r="U17" s="47">
        <v>5870.78</v>
      </c>
    </row>
    <row r="18" spans="2:21" ht="27.95" customHeight="1">
      <c r="B18" s="1">
        <f t="shared" si="4"/>
        <v>8</v>
      </c>
      <c r="C18" s="2" t="s">
        <v>93</v>
      </c>
      <c r="D18" s="2" t="s">
        <v>94</v>
      </c>
      <c r="E18" s="2" t="s">
        <v>95</v>
      </c>
      <c r="F18" s="2" t="s">
        <v>96</v>
      </c>
      <c r="G18" s="64"/>
      <c r="H18" s="65">
        <v>15</v>
      </c>
      <c r="I18" s="66">
        <f t="shared" si="0"/>
        <v>105.13333333333334</v>
      </c>
      <c r="J18" s="341">
        <f>3032/2</f>
        <v>1516</v>
      </c>
      <c r="K18" s="76">
        <v>1577</v>
      </c>
      <c r="L18" s="67"/>
      <c r="M18" s="67">
        <f t="shared" si="1"/>
        <v>1577</v>
      </c>
      <c r="N18" s="67">
        <v>116.82</v>
      </c>
      <c r="O18" s="67"/>
      <c r="P18" s="67"/>
      <c r="Q18" s="68">
        <f t="shared" si="2"/>
        <v>0</v>
      </c>
      <c r="R18" s="69">
        <f t="shared" si="3"/>
        <v>1693.82</v>
      </c>
      <c r="S18" s="72"/>
      <c r="U18" s="47">
        <v>1567.85</v>
      </c>
    </row>
    <row r="19" spans="2:21" ht="27.95" customHeight="1">
      <c r="B19" s="1">
        <f t="shared" si="4"/>
        <v>9</v>
      </c>
      <c r="C19" s="3" t="s">
        <v>98</v>
      </c>
      <c r="D19" s="3" t="s">
        <v>93</v>
      </c>
      <c r="E19" s="3" t="s">
        <v>99</v>
      </c>
      <c r="F19" s="3" t="s">
        <v>75</v>
      </c>
      <c r="G19" s="78"/>
      <c r="H19" s="78">
        <v>15</v>
      </c>
      <c r="I19" s="75">
        <f t="shared" si="0"/>
        <v>298.2</v>
      </c>
      <c r="J19" s="342">
        <f>8602/2</f>
        <v>4301</v>
      </c>
      <c r="K19" s="76">
        <v>4473</v>
      </c>
      <c r="L19" s="76"/>
      <c r="M19" s="67">
        <f t="shared" si="1"/>
        <v>4473</v>
      </c>
      <c r="N19" s="79">
        <v>0</v>
      </c>
      <c r="O19" s="79"/>
      <c r="P19" s="79">
        <v>350</v>
      </c>
      <c r="Q19" s="68">
        <f t="shared" si="2"/>
        <v>350</v>
      </c>
      <c r="R19" s="69">
        <f t="shared" si="3"/>
        <v>4123</v>
      </c>
      <c r="S19" s="77"/>
      <c r="U19" s="47">
        <v>3808.94</v>
      </c>
    </row>
    <row r="20" spans="2:21" ht="27.95" customHeight="1">
      <c r="B20" s="1">
        <f t="shared" si="4"/>
        <v>10</v>
      </c>
      <c r="C20" s="2" t="s">
        <v>808</v>
      </c>
      <c r="D20" s="2" t="s">
        <v>77</v>
      </c>
      <c r="E20" s="2" t="s">
        <v>816</v>
      </c>
      <c r="F20" s="2" t="s">
        <v>838</v>
      </c>
      <c r="G20" s="64"/>
      <c r="H20" s="65">
        <v>15</v>
      </c>
      <c r="I20" s="66">
        <f>K20/15</f>
        <v>208.2</v>
      </c>
      <c r="J20" s="341">
        <f>6006/2</f>
        <v>3003</v>
      </c>
      <c r="K20" s="444">
        <v>3123</v>
      </c>
      <c r="L20" s="67"/>
      <c r="M20" s="67">
        <f t="shared" si="1"/>
        <v>3123</v>
      </c>
      <c r="N20" s="67">
        <v>0</v>
      </c>
      <c r="O20" s="76"/>
      <c r="P20" s="76">
        <v>76</v>
      </c>
      <c r="Q20" s="68">
        <f>P20</f>
        <v>76</v>
      </c>
      <c r="R20" s="69">
        <f>M20+N20-Q20-O20</f>
        <v>3047</v>
      </c>
      <c r="S20" s="72"/>
      <c r="T20" s="628" t="s">
        <v>809</v>
      </c>
      <c r="U20" s="47">
        <v>2844.08</v>
      </c>
    </row>
    <row r="21" spans="2:21" ht="27.95" customHeight="1">
      <c r="B21" s="1">
        <f t="shared" si="4"/>
        <v>11</v>
      </c>
      <c r="C21" s="4" t="s">
        <v>102</v>
      </c>
      <c r="D21" s="4" t="s">
        <v>102</v>
      </c>
      <c r="E21" s="4" t="s">
        <v>103</v>
      </c>
      <c r="F21" s="4" t="s">
        <v>104</v>
      </c>
      <c r="G21" s="80"/>
      <c r="H21" s="81">
        <v>15</v>
      </c>
      <c r="I21" s="82">
        <f>K21/15</f>
        <v>204.2</v>
      </c>
      <c r="J21" s="343">
        <f>5166/2</f>
        <v>2583</v>
      </c>
      <c r="K21" s="445">
        <v>3063</v>
      </c>
      <c r="L21" s="84"/>
      <c r="M21" s="67">
        <f t="shared" si="1"/>
        <v>3063</v>
      </c>
      <c r="N21" s="84"/>
      <c r="O21" s="84"/>
      <c r="P21" s="84">
        <v>49</v>
      </c>
      <c r="Q21" s="68">
        <f t="shared" si="2"/>
        <v>49</v>
      </c>
      <c r="R21" s="69">
        <f>M21+N21-Q21-O21</f>
        <v>3014</v>
      </c>
      <c r="S21" s="72"/>
      <c r="U21" s="47">
        <v>2477.7399999999998</v>
      </c>
    </row>
    <row r="22" spans="2:21" ht="27.95" customHeight="1">
      <c r="B22" s="1">
        <f t="shared" si="4"/>
        <v>12</v>
      </c>
      <c r="C22" s="2" t="s">
        <v>105</v>
      </c>
      <c r="D22" s="2" t="s">
        <v>106</v>
      </c>
      <c r="E22" s="2" t="s">
        <v>107</v>
      </c>
      <c r="F22" s="2" t="s">
        <v>108</v>
      </c>
      <c r="G22" s="65"/>
      <c r="H22" s="65">
        <v>15</v>
      </c>
      <c r="I22" s="85">
        <f t="shared" ref="I22:I32" si="5">K22/15</f>
        <v>30.2</v>
      </c>
      <c r="J22" s="344">
        <f>872/2</f>
        <v>436</v>
      </c>
      <c r="K22" s="76">
        <v>453</v>
      </c>
      <c r="L22" s="67">
        <v>0</v>
      </c>
      <c r="M22" s="67">
        <f t="shared" si="1"/>
        <v>453</v>
      </c>
      <c r="N22" s="67">
        <v>188.95</v>
      </c>
      <c r="O22" s="67"/>
      <c r="P22" s="67"/>
      <c r="Q22" s="68">
        <f t="shared" si="2"/>
        <v>0</v>
      </c>
      <c r="R22" s="69">
        <f t="shared" si="3"/>
        <v>641.95000000000005</v>
      </c>
      <c r="S22" s="72"/>
      <c r="U22" s="47">
        <v>604.91</v>
      </c>
    </row>
    <row r="23" spans="2:21" ht="27.95" customHeight="1">
      <c r="B23" s="1">
        <f t="shared" si="4"/>
        <v>13</v>
      </c>
      <c r="C23" s="2" t="s">
        <v>109</v>
      </c>
      <c r="D23" s="2" t="s">
        <v>110</v>
      </c>
      <c r="E23" s="2" t="s">
        <v>111</v>
      </c>
      <c r="F23" s="2" t="s">
        <v>252</v>
      </c>
      <c r="G23" s="65"/>
      <c r="H23" s="65">
        <v>15</v>
      </c>
      <c r="I23" s="85">
        <f t="shared" si="5"/>
        <v>148.66666666666666</v>
      </c>
      <c r="J23" s="344">
        <f>4288/2</f>
        <v>2144</v>
      </c>
      <c r="K23" s="76">
        <v>2230</v>
      </c>
      <c r="L23" s="67">
        <v>0</v>
      </c>
      <c r="M23" s="67">
        <f t="shared" si="1"/>
        <v>2230</v>
      </c>
      <c r="N23" s="76">
        <v>48.83</v>
      </c>
      <c r="O23" s="76"/>
      <c r="P23" s="67"/>
      <c r="Q23" s="68">
        <f t="shared" si="2"/>
        <v>0</v>
      </c>
      <c r="R23" s="69">
        <f t="shared" si="3"/>
        <v>2278.83</v>
      </c>
      <c r="S23" s="70"/>
      <c r="U23" s="47">
        <v>2115.5</v>
      </c>
    </row>
    <row r="24" spans="2:21" ht="27.95" customHeight="1">
      <c r="B24" s="1">
        <f t="shared" si="4"/>
        <v>14</v>
      </c>
      <c r="C24" s="2" t="s">
        <v>112</v>
      </c>
      <c r="D24" s="2" t="s">
        <v>113</v>
      </c>
      <c r="E24" s="2" t="s">
        <v>114</v>
      </c>
      <c r="F24" s="2" t="s">
        <v>115</v>
      </c>
      <c r="G24" s="65"/>
      <c r="H24" s="65">
        <v>15</v>
      </c>
      <c r="I24" s="85">
        <f t="shared" si="5"/>
        <v>257</v>
      </c>
      <c r="J24" s="344">
        <f>7414/2</f>
        <v>3707</v>
      </c>
      <c r="K24" s="76">
        <v>3855</v>
      </c>
      <c r="L24" s="67">
        <v>0</v>
      </c>
      <c r="M24" s="67">
        <f t="shared" si="1"/>
        <v>3855</v>
      </c>
      <c r="N24" s="67"/>
      <c r="O24" s="67"/>
      <c r="P24" s="86">
        <v>282</v>
      </c>
      <c r="Q24" s="68">
        <f t="shared" si="2"/>
        <v>282</v>
      </c>
      <c r="R24" s="69">
        <f t="shared" si="3"/>
        <v>3573</v>
      </c>
      <c r="S24" s="72"/>
      <c r="U24" s="47">
        <v>3407.99</v>
      </c>
    </row>
    <row r="25" spans="2:21" ht="27.95" customHeight="1">
      <c r="B25" s="1">
        <f t="shared" si="4"/>
        <v>15</v>
      </c>
      <c r="C25" s="2" t="s">
        <v>116</v>
      </c>
      <c r="D25" s="2" t="s">
        <v>110</v>
      </c>
      <c r="E25" s="2" t="s">
        <v>117</v>
      </c>
      <c r="F25" s="2" t="s">
        <v>118</v>
      </c>
      <c r="G25" s="65"/>
      <c r="H25" s="65">
        <v>15</v>
      </c>
      <c r="I25" s="85">
        <f t="shared" si="5"/>
        <v>285.06666666666666</v>
      </c>
      <c r="J25" s="344">
        <f>8224/2</f>
        <v>4112</v>
      </c>
      <c r="K25" s="76">
        <v>4276</v>
      </c>
      <c r="L25" s="67">
        <v>0</v>
      </c>
      <c r="M25" s="67">
        <f t="shared" si="1"/>
        <v>4276</v>
      </c>
      <c r="N25" s="67">
        <v>0</v>
      </c>
      <c r="O25" s="76"/>
      <c r="P25" s="67">
        <v>328</v>
      </c>
      <c r="Q25" s="68">
        <f t="shared" si="2"/>
        <v>328</v>
      </c>
      <c r="R25" s="69">
        <f t="shared" si="3"/>
        <v>3948</v>
      </c>
      <c r="S25" s="72"/>
      <c r="U25" s="47">
        <v>3646.75</v>
      </c>
    </row>
    <row r="26" spans="2:21" ht="28.5" customHeight="1">
      <c r="B26" s="1">
        <f t="shared" si="4"/>
        <v>16</v>
      </c>
      <c r="C26" s="2" t="s">
        <v>269</v>
      </c>
      <c r="D26" s="2" t="s">
        <v>165</v>
      </c>
      <c r="E26" s="2" t="s">
        <v>270</v>
      </c>
      <c r="F26" s="98" t="s">
        <v>251</v>
      </c>
      <c r="G26" s="65"/>
      <c r="H26" s="65">
        <v>15</v>
      </c>
      <c r="I26" s="85">
        <f t="shared" si="5"/>
        <v>290.33333333333331</v>
      </c>
      <c r="J26" s="344">
        <f>8376/2</f>
        <v>4188</v>
      </c>
      <c r="K26" s="76">
        <v>4355</v>
      </c>
      <c r="L26" s="67">
        <v>0</v>
      </c>
      <c r="M26" s="67">
        <f t="shared" si="1"/>
        <v>4355</v>
      </c>
      <c r="N26" s="67">
        <v>0</v>
      </c>
      <c r="O26" s="76"/>
      <c r="P26" s="67">
        <v>337</v>
      </c>
      <c r="Q26" s="68">
        <f t="shared" si="2"/>
        <v>337</v>
      </c>
      <c r="R26" s="69">
        <f t="shared" si="3"/>
        <v>4018</v>
      </c>
      <c r="S26" s="72"/>
      <c r="U26" s="47">
        <v>3711.81</v>
      </c>
    </row>
    <row r="27" spans="2:21" ht="27.95" customHeight="1">
      <c r="B27" s="629">
        <f t="shared" si="4"/>
        <v>17</v>
      </c>
      <c r="C27" s="630" t="s">
        <v>120</v>
      </c>
      <c r="D27" s="630" t="s">
        <v>121</v>
      </c>
      <c r="E27" s="630" t="s">
        <v>122</v>
      </c>
      <c r="F27" s="630" t="s">
        <v>123</v>
      </c>
      <c r="G27" s="631"/>
      <c r="H27" s="631">
        <v>15</v>
      </c>
      <c r="I27" s="632">
        <f t="shared" si="5"/>
        <v>181.23066666666668</v>
      </c>
      <c r="J27" s="633">
        <f>7128/2</f>
        <v>3564</v>
      </c>
      <c r="K27" s="634">
        <v>2718.46</v>
      </c>
      <c r="L27" s="634">
        <v>0</v>
      </c>
      <c r="M27" s="634">
        <f t="shared" si="1"/>
        <v>2718.46</v>
      </c>
      <c r="N27" s="634">
        <v>0</v>
      </c>
      <c r="O27" s="634"/>
      <c r="P27" s="634">
        <v>195.06</v>
      </c>
      <c r="Q27" s="634">
        <f t="shared" si="2"/>
        <v>195.06</v>
      </c>
      <c r="R27" s="635">
        <f t="shared" si="3"/>
        <v>2523.4</v>
      </c>
      <c r="S27" s="636"/>
      <c r="T27" s="637" t="s">
        <v>818</v>
      </c>
      <c r="U27" s="47">
        <v>3303.86</v>
      </c>
    </row>
    <row r="28" spans="2:21" ht="27.95" customHeight="1">
      <c r="B28" s="1">
        <f t="shared" si="4"/>
        <v>18</v>
      </c>
      <c r="C28" s="2" t="s">
        <v>124</v>
      </c>
      <c r="D28" s="2" t="s">
        <v>125</v>
      </c>
      <c r="E28" s="2" t="s">
        <v>126</v>
      </c>
      <c r="F28" s="2" t="s">
        <v>127</v>
      </c>
      <c r="G28" s="65"/>
      <c r="H28" s="65">
        <v>15</v>
      </c>
      <c r="I28" s="85">
        <f t="shared" si="5"/>
        <v>144.93333333333334</v>
      </c>
      <c r="J28" s="344">
        <f>4180/2</f>
        <v>2090</v>
      </c>
      <c r="K28" s="76">
        <v>2174</v>
      </c>
      <c r="L28" s="67">
        <v>0</v>
      </c>
      <c r="M28" s="67">
        <f t="shared" si="1"/>
        <v>2174</v>
      </c>
      <c r="N28" s="67">
        <v>66.53</v>
      </c>
      <c r="O28" s="67"/>
      <c r="P28" s="67"/>
      <c r="Q28" s="68">
        <f t="shared" si="2"/>
        <v>0</v>
      </c>
      <c r="R28" s="69">
        <f t="shared" si="3"/>
        <v>2240.5300000000002</v>
      </c>
      <c r="S28" s="72"/>
      <c r="U28" s="47">
        <v>2063.83</v>
      </c>
    </row>
    <row r="29" spans="2:21" ht="27.95" customHeight="1">
      <c r="B29" s="1">
        <f t="shared" si="4"/>
        <v>19</v>
      </c>
      <c r="C29" s="2" t="s">
        <v>119</v>
      </c>
      <c r="D29" s="2" t="s">
        <v>128</v>
      </c>
      <c r="E29" s="2" t="s">
        <v>129</v>
      </c>
      <c r="F29" s="2" t="s">
        <v>130</v>
      </c>
      <c r="G29" s="65"/>
      <c r="H29" s="65">
        <v>15</v>
      </c>
      <c r="I29" s="85">
        <f t="shared" si="5"/>
        <v>198.53333333333333</v>
      </c>
      <c r="J29" s="344">
        <f>5726/2</f>
        <v>2863</v>
      </c>
      <c r="K29" s="76">
        <v>2978</v>
      </c>
      <c r="L29" s="67">
        <v>0</v>
      </c>
      <c r="M29" s="67">
        <f t="shared" si="1"/>
        <v>2978</v>
      </c>
      <c r="N29" s="67">
        <v>0</v>
      </c>
      <c r="O29" s="67"/>
      <c r="P29" s="67">
        <v>40</v>
      </c>
      <c r="Q29" s="68">
        <f t="shared" si="2"/>
        <v>40</v>
      </c>
      <c r="R29" s="69">
        <f t="shared" si="3"/>
        <v>2938</v>
      </c>
      <c r="S29" s="72"/>
      <c r="U29" s="47">
        <v>2700.57</v>
      </c>
    </row>
    <row r="30" spans="2:21" ht="27.95" customHeight="1">
      <c r="B30" s="1">
        <f t="shared" si="4"/>
        <v>20</v>
      </c>
      <c r="C30" s="2" t="s">
        <v>101</v>
      </c>
      <c r="D30" s="2" t="s">
        <v>131</v>
      </c>
      <c r="E30" s="2" t="s">
        <v>132</v>
      </c>
      <c r="F30" s="2" t="s">
        <v>100</v>
      </c>
      <c r="G30" s="74"/>
      <c r="H30" s="74">
        <v>15</v>
      </c>
      <c r="I30" s="573">
        <f t="shared" si="5"/>
        <v>238</v>
      </c>
      <c r="J30" s="574">
        <f>6866/2</f>
        <v>3433</v>
      </c>
      <c r="K30" s="76">
        <v>3570</v>
      </c>
      <c r="L30" s="76">
        <v>0</v>
      </c>
      <c r="M30" s="76">
        <f t="shared" si="1"/>
        <v>3570</v>
      </c>
      <c r="N30" s="76">
        <v>0</v>
      </c>
      <c r="O30" s="76"/>
      <c r="P30" s="76">
        <v>143</v>
      </c>
      <c r="Q30" s="76">
        <f t="shared" si="2"/>
        <v>143</v>
      </c>
      <c r="R30" s="107">
        <f t="shared" si="3"/>
        <v>3427</v>
      </c>
      <c r="S30" s="575"/>
      <c r="U30" s="47">
        <v>3191.57</v>
      </c>
    </row>
    <row r="31" spans="2:21" ht="27.95" customHeight="1">
      <c r="B31" s="1">
        <f t="shared" si="4"/>
        <v>21</v>
      </c>
      <c r="C31" s="2" t="s">
        <v>133</v>
      </c>
      <c r="D31" s="2" t="s">
        <v>134</v>
      </c>
      <c r="E31" s="2" t="s">
        <v>135</v>
      </c>
      <c r="F31" s="2" t="s">
        <v>75</v>
      </c>
      <c r="G31" s="74"/>
      <c r="H31" s="74">
        <v>15</v>
      </c>
      <c r="I31" s="573">
        <f t="shared" si="5"/>
        <v>298.2</v>
      </c>
      <c r="J31" s="574">
        <f>6722/2</f>
        <v>3361</v>
      </c>
      <c r="K31" s="76">
        <v>4473</v>
      </c>
      <c r="L31" s="76">
        <v>0</v>
      </c>
      <c r="M31" s="76">
        <f t="shared" si="1"/>
        <v>4473</v>
      </c>
      <c r="N31" s="76">
        <v>0</v>
      </c>
      <c r="O31" s="76"/>
      <c r="P31" s="76">
        <v>350</v>
      </c>
      <c r="Q31" s="76">
        <f t="shared" si="2"/>
        <v>350</v>
      </c>
      <c r="R31" s="107">
        <f>M31+N31-Q31-O31</f>
        <v>4123</v>
      </c>
      <c r="S31" s="575"/>
      <c r="U31" s="47">
        <v>3130.19</v>
      </c>
    </row>
    <row r="32" spans="2:21" ht="27.95" customHeight="1" thickBot="1">
      <c r="B32" s="1">
        <f t="shared" si="4"/>
        <v>22</v>
      </c>
      <c r="C32" s="3" t="s">
        <v>136</v>
      </c>
      <c r="D32" s="3" t="s">
        <v>137</v>
      </c>
      <c r="E32" s="3" t="s">
        <v>138</v>
      </c>
      <c r="F32" s="3" t="s">
        <v>104</v>
      </c>
      <c r="G32" s="65"/>
      <c r="H32" s="65">
        <v>15</v>
      </c>
      <c r="I32" s="87">
        <f t="shared" si="5"/>
        <v>320.39999999999998</v>
      </c>
      <c r="J32" s="345">
        <f>9242/2</f>
        <v>4621</v>
      </c>
      <c r="K32" s="115">
        <v>4806</v>
      </c>
      <c r="L32" s="84">
        <v>0</v>
      </c>
      <c r="M32" s="67">
        <f t="shared" si="1"/>
        <v>4806</v>
      </c>
      <c r="N32" s="83">
        <v>0</v>
      </c>
      <c r="O32" s="83"/>
      <c r="P32" s="84">
        <v>386</v>
      </c>
      <c r="Q32" s="68">
        <f t="shared" si="2"/>
        <v>386</v>
      </c>
      <c r="R32" s="69">
        <f t="shared" si="3"/>
        <v>4420</v>
      </c>
      <c r="S32" s="72"/>
      <c r="U32" s="47">
        <v>4075.98</v>
      </c>
    </row>
    <row r="33" spans="1:21" ht="18.75" customHeight="1" thickBot="1">
      <c r="B33" s="718" t="s">
        <v>52</v>
      </c>
      <c r="C33" s="719"/>
      <c r="D33" s="719"/>
      <c r="E33" s="719"/>
      <c r="F33" s="720"/>
      <c r="G33" s="559"/>
      <c r="H33" s="560"/>
      <c r="I33" s="561"/>
      <c r="J33" s="562"/>
      <c r="K33" s="560">
        <f t="shared" ref="K33:R33" si="6">SUM(K11:K32)</f>
        <v>79794.459999999992</v>
      </c>
      <c r="L33" s="560">
        <f t="shared" si="6"/>
        <v>0</v>
      </c>
      <c r="M33" s="560">
        <f t="shared" si="6"/>
        <v>79794.459999999992</v>
      </c>
      <c r="N33" s="560">
        <f t="shared" si="6"/>
        <v>421.13</v>
      </c>
      <c r="O33" s="560">
        <f t="shared" si="6"/>
        <v>0</v>
      </c>
      <c r="P33" s="560">
        <f t="shared" si="6"/>
        <v>4994.0599999999995</v>
      </c>
      <c r="Q33" s="560">
        <f t="shared" si="6"/>
        <v>4994.0599999999995</v>
      </c>
      <c r="R33" s="509">
        <f t="shared" si="6"/>
        <v>75221.53</v>
      </c>
      <c r="S33" s="61"/>
      <c r="U33" s="164">
        <f>SUM(U11:U32)</f>
        <v>67325.819999999992</v>
      </c>
    </row>
    <row r="34" spans="1:21" ht="13.5" thickBot="1">
      <c r="B34" s="61"/>
      <c r="C34" s="61"/>
      <c r="D34" s="61"/>
      <c r="E34" s="61"/>
      <c r="F34" s="61"/>
      <c r="G34" s="61"/>
      <c r="H34" s="61"/>
      <c r="I34" s="88"/>
      <c r="J34" s="340"/>
      <c r="K34" s="62"/>
      <c r="L34" s="62"/>
      <c r="M34" s="62"/>
      <c r="N34" s="62"/>
      <c r="O34" s="62"/>
      <c r="P34" s="62"/>
      <c r="Q34" s="62"/>
      <c r="R34" s="89" t="s">
        <v>45</v>
      </c>
      <c r="S34" s="90"/>
    </row>
    <row r="35" spans="1:21" ht="62.25" customHeight="1">
      <c r="B35" s="92"/>
      <c r="C35" s="95"/>
      <c r="D35" s="92"/>
      <c r="E35" s="92"/>
      <c r="F35" s="91"/>
      <c r="G35" s="91"/>
      <c r="H35" s="91"/>
      <c r="I35" s="91"/>
      <c r="J35" s="346"/>
      <c r="K35" s="93"/>
      <c r="L35" s="93"/>
      <c r="M35" s="93"/>
      <c r="N35" s="93"/>
      <c r="O35" s="93"/>
      <c r="P35" s="93"/>
      <c r="Q35" s="93"/>
      <c r="R35" s="93"/>
      <c r="S35" s="61"/>
    </row>
    <row r="36" spans="1:21" ht="51.75" customHeight="1">
      <c r="A36" s="61"/>
      <c r="B36" s="674"/>
      <c r="C36" s="674"/>
      <c r="D36" s="674"/>
      <c r="E36" s="674"/>
      <c r="F36" s="61"/>
      <c r="G36" s="61"/>
      <c r="H36" s="61"/>
      <c r="I36" s="61"/>
      <c r="J36" s="340"/>
      <c r="K36" s="62"/>
      <c r="L36" s="62"/>
      <c r="M36" s="62"/>
      <c r="N36" s="62"/>
      <c r="O36" s="399"/>
      <c r="P36" s="674"/>
      <c r="Q36" s="674"/>
      <c r="R36" s="674"/>
      <c r="S36" s="61"/>
    </row>
    <row r="37" spans="1:21" ht="15" customHeight="1">
      <c r="A37" s="61"/>
      <c r="B37" s="656" t="s">
        <v>28</v>
      </c>
      <c r="C37" s="656"/>
      <c r="D37" s="656"/>
      <c r="E37" s="656"/>
      <c r="F37" s="656" t="s">
        <v>140</v>
      </c>
      <c r="G37" s="656"/>
      <c r="H37" s="656"/>
      <c r="I37" s="656"/>
      <c r="J37" s="656"/>
      <c r="K37" s="656"/>
      <c r="L37" s="656"/>
      <c r="M37" s="656"/>
      <c r="N37" s="5"/>
      <c r="O37" s="5"/>
      <c r="P37" s="656"/>
      <c r="Q37" s="656"/>
      <c r="R37" s="656"/>
      <c r="S37" s="61"/>
    </row>
    <row r="38" spans="1:21">
      <c r="A38" s="61"/>
      <c r="B38" s="61"/>
      <c r="C38" s="61"/>
      <c r="D38" s="61"/>
      <c r="E38" s="61"/>
      <c r="F38" s="61"/>
      <c r="G38" s="61"/>
      <c r="H38" s="61"/>
      <c r="I38" s="61"/>
      <c r="J38" s="340"/>
      <c r="K38" s="62"/>
      <c r="L38" s="62"/>
      <c r="M38" s="62"/>
      <c r="N38" s="62"/>
      <c r="O38" s="62"/>
      <c r="P38" s="62"/>
      <c r="Q38" s="62"/>
      <c r="R38" s="62"/>
      <c r="S38" s="61"/>
    </row>
    <row r="40" spans="1:21">
      <c r="D40" s="46" t="s">
        <v>141</v>
      </c>
      <c r="K40" s="94"/>
      <c r="L40" s="94"/>
      <c r="M40" s="94"/>
      <c r="N40" s="94"/>
      <c r="O40" s="94"/>
      <c r="P40" s="94"/>
      <c r="Q40" s="94"/>
      <c r="R40" s="94"/>
    </row>
    <row r="41" spans="1:21">
      <c r="D41" s="46" t="s">
        <v>142</v>
      </c>
    </row>
    <row r="42" spans="1:21">
      <c r="K42" s="59"/>
      <c r="R42" s="47">
        <f>M33+N33-Q33</f>
        <v>75221.53</v>
      </c>
    </row>
    <row r="43" spans="1:21">
      <c r="M43" s="55"/>
      <c r="R43" s="47">
        <f>R33-R42</f>
        <v>0</v>
      </c>
    </row>
    <row r="50" spans="6:14">
      <c r="F50" s="656"/>
      <c r="G50" s="656"/>
      <c r="H50" s="656"/>
      <c r="I50" s="656"/>
      <c r="J50" s="656"/>
      <c r="K50" s="656"/>
      <c r="L50" s="656"/>
      <c r="M50" s="656"/>
      <c r="N50" s="656"/>
    </row>
  </sheetData>
  <mergeCells count="13">
    <mergeCell ref="B3:S3"/>
    <mergeCell ref="B4:S4"/>
    <mergeCell ref="B37:E37"/>
    <mergeCell ref="P37:R37"/>
    <mergeCell ref="B36:E36"/>
    <mergeCell ref="P36:R36"/>
    <mergeCell ref="S7:S9"/>
    <mergeCell ref="B33:F33"/>
    <mergeCell ref="F50:N50"/>
    <mergeCell ref="K7:O7"/>
    <mergeCell ref="F37:M37"/>
    <mergeCell ref="F7:H7"/>
    <mergeCell ref="P7:Q7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G17"/>
  <sheetViews>
    <sheetView workbookViewId="0">
      <selection activeCell="C18" sqref="C18"/>
    </sheetView>
  </sheetViews>
  <sheetFormatPr baseColWidth="10" defaultRowHeight="15"/>
  <cols>
    <col min="1" max="1" width="37.5703125" customWidth="1"/>
    <col min="2" max="2" width="26.28515625" customWidth="1"/>
    <col min="3" max="3" width="17.28515625" customWidth="1"/>
    <col min="4" max="7" width="0" hidden="1" customWidth="1"/>
  </cols>
  <sheetData>
    <row r="2" spans="1:7">
      <c r="A2" s="722" t="s">
        <v>692</v>
      </c>
      <c r="B2" s="722"/>
    </row>
    <row r="3" spans="1:7" ht="7.5" customHeight="1">
      <c r="A3" s="240"/>
      <c r="B3" s="240"/>
    </row>
    <row r="4" spans="1:7">
      <c r="A4" s="721" t="s">
        <v>517</v>
      </c>
      <c r="B4" s="721"/>
    </row>
    <row r="6" spans="1:7" ht="30">
      <c r="A6" s="161" t="s">
        <v>265</v>
      </c>
      <c r="B6" s="161" t="s">
        <v>266</v>
      </c>
      <c r="C6" s="161" t="s">
        <v>267</v>
      </c>
      <c r="D6" s="441" t="s">
        <v>697</v>
      </c>
      <c r="E6" s="228" t="s">
        <v>693</v>
      </c>
      <c r="F6" s="228" t="s">
        <v>694</v>
      </c>
      <c r="G6" s="440" t="s">
        <v>696</v>
      </c>
    </row>
    <row r="7" spans="1:7">
      <c r="A7" s="161"/>
      <c r="B7" s="161"/>
      <c r="C7" s="162"/>
    </row>
    <row r="8" spans="1:7">
      <c r="A8" s="161" t="s">
        <v>539</v>
      </c>
      <c r="B8" s="161" t="s">
        <v>282</v>
      </c>
      <c r="C8" s="162">
        <v>1312.5</v>
      </c>
      <c r="D8" s="438">
        <f>C8*4%</f>
        <v>52.5</v>
      </c>
      <c r="E8" s="438">
        <f>C8+D8</f>
        <v>1365</v>
      </c>
      <c r="F8" s="161">
        <v>200</v>
      </c>
      <c r="G8" s="439">
        <f>E8+F8</f>
        <v>1565</v>
      </c>
    </row>
    <row r="9" spans="1:7">
      <c r="A9" s="161" t="s">
        <v>583</v>
      </c>
      <c r="B9" s="161" t="s">
        <v>584</v>
      </c>
      <c r="C9" s="162">
        <v>1902.6</v>
      </c>
      <c r="D9" s="438">
        <f t="shared" ref="D9:D10" si="0">C9*4%</f>
        <v>76.103999999999999</v>
      </c>
      <c r="E9" s="438">
        <f t="shared" ref="E9:E10" si="1">C9+D9</f>
        <v>1978.704</v>
      </c>
      <c r="F9" s="161"/>
      <c r="G9" s="439">
        <f t="shared" ref="G9:G10" si="2">E9+F9</f>
        <v>1978.704</v>
      </c>
    </row>
    <row r="10" spans="1:7">
      <c r="A10" s="161" t="s">
        <v>636</v>
      </c>
      <c r="B10" s="161" t="s">
        <v>695</v>
      </c>
      <c r="C10" s="162">
        <v>1800</v>
      </c>
      <c r="D10" s="438">
        <f t="shared" si="0"/>
        <v>72</v>
      </c>
      <c r="E10" s="438">
        <f t="shared" si="1"/>
        <v>1872</v>
      </c>
      <c r="F10" s="161"/>
      <c r="G10" s="439">
        <f t="shared" si="2"/>
        <v>1872</v>
      </c>
    </row>
    <row r="11" spans="1:7">
      <c r="C11" s="165">
        <f>SUM(C7:C10)</f>
        <v>5015.1000000000004</v>
      </c>
      <c r="G11" s="215">
        <f>SUM(G8:G10)</f>
        <v>5415.7039999999997</v>
      </c>
    </row>
    <row r="16" spans="1:7" ht="15.75">
      <c r="A16" s="442"/>
    </row>
    <row r="17" spans="1:1" ht="15.75">
      <c r="A17" s="442"/>
    </row>
  </sheetData>
  <mergeCells count="2">
    <mergeCell ref="A4:B4"/>
    <mergeCell ref="A2:B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S37"/>
  <sheetViews>
    <sheetView workbookViewId="0">
      <selection activeCell="C22" sqref="C22"/>
    </sheetView>
  </sheetViews>
  <sheetFormatPr baseColWidth="10" defaultColWidth="13.42578125" defaultRowHeight="15"/>
  <cols>
    <col min="1" max="1" width="7" style="147" customWidth="1"/>
    <col min="2" max="2" width="12.28515625" style="147" customWidth="1"/>
    <col min="3" max="3" width="28.140625" style="147" customWidth="1"/>
    <col min="4" max="4" width="16.42578125" style="147" customWidth="1"/>
    <col min="5" max="5" width="0.28515625" style="147" customWidth="1"/>
    <col min="6" max="6" width="13.42578125" style="147"/>
    <col min="7" max="7" width="15.85546875" style="147" customWidth="1"/>
    <col min="8" max="8" width="9.28515625" style="147" bestFit="1" customWidth="1"/>
    <col min="9" max="9" width="13.42578125" style="147"/>
    <col min="10" max="10" width="10.140625" style="147" bestFit="1" customWidth="1"/>
    <col min="11" max="11" width="28.5703125" style="147" customWidth="1"/>
    <col min="12" max="12" width="15.140625" style="147" customWidth="1"/>
    <col min="13" max="14" width="13.42578125" style="430"/>
    <col min="15" max="16384" width="13.42578125" style="147"/>
  </cols>
  <sheetData>
    <row r="1" spans="2:15">
      <c r="B1" s="34"/>
      <c r="C1" s="647"/>
      <c r="D1" s="648"/>
      <c r="E1" s="648"/>
      <c r="F1" s="648"/>
      <c r="G1" s="648"/>
      <c r="H1" s="22"/>
      <c r="I1" s="22"/>
      <c r="J1" s="22"/>
      <c r="K1" s="22"/>
      <c r="L1" s="14"/>
    </row>
    <row r="2" spans="2:15" ht="19.5">
      <c r="B2" s="649" t="s">
        <v>200</v>
      </c>
      <c r="C2" s="650"/>
      <c r="D2" s="650"/>
      <c r="E2" s="650"/>
      <c r="F2" s="650"/>
      <c r="G2" s="650"/>
      <c r="H2" s="650"/>
      <c r="I2" s="650"/>
      <c r="J2" s="650"/>
      <c r="K2" s="651"/>
      <c r="L2" s="427"/>
    </row>
    <row r="3" spans="2:15">
      <c r="B3" s="652" t="s">
        <v>835</v>
      </c>
      <c r="C3" s="653"/>
      <c r="D3" s="653"/>
      <c r="E3" s="653"/>
      <c r="F3" s="653"/>
      <c r="G3" s="653"/>
      <c r="H3" s="653"/>
      <c r="I3" s="653"/>
      <c r="J3" s="653"/>
      <c r="K3" s="654"/>
      <c r="L3" s="417"/>
    </row>
    <row r="4" spans="2:15">
      <c r="B4" s="23"/>
      <c r="C4" s="24" t="s">
        <v>0</v>
      </c>
      <c r="D4" s="14"/>
      <c r="E4" s="14"/>
      <c r="F4" s="14"/>
      <c r="G4" s="14"/>
      <c r="H4" s="14"/>
      <c r="I4" s="14"/>
      <c r="J4" s="14"/>
      <c r="K4" s="25"/>
      <c r="L4" s="14"/>
    </row>
    <row r="5" spans="2:15">
      <c r="B5" s="36"/>
      <c r="C5" s="37"/>
      <c r="D5" s="37"/>
      <c r="E5" s="37"/>
      <c r="F5" s="37"/>
      <c r="G5" s="37"/>
      <c r="H5" s="37"/>
      <c r="I5" s="37"/>
      <c r="J5" s="37"/>
      <c r="K5" s="26"/>
      <c r="L5" s="14"/>
    </row>
    <row r="6" spans="2:15" ht="36.75" customHeight="1">
      <c r="B6" s="497" t="s">
        <v>1</v>
      </c>
      <c r="C6" s="446" t="s">
        <v>2</v>
      </c>
      <c r="D6" s="446" t="s">
        <v>213</v>
      </c>
      <c r="E6" s="446" t="s">
        <v>4</v>
      </c>
      <c r="F6" s="446" t="s">
        <v>5</v>
      </c>
      <c r="G6" s="446" t="s">
        <v>43</v>
      </c>
      <c r="H6" s="446" t="s">
        <v>42</v>
      </c>
      <c r="I6" s="498" t="s">
        <v>6</v>
      </c>
      <c r="J6" s="448" t="s">
        <v>7</v>
      </c>
      <c r="K6" s="499" t="s">
        <v>29</v>
      </c>
      <c r="L6" s="428"/>
    </row>
    <row r="7" spans="2:15">
      <c r="B7" s="41" t="s">
        <v>675</v>
      </c>
      <c r="C7" s="14"/>
      <c r="D7" s="14"/>
      <c r="E7" s="14"/>
      <c r="F7" s="14"/>
      <c r="G7" s="14"/>
      <c r="H7" s="14"/>
      <c r="I7" s="14"/>
      <c r="J7" s="14"/>
      <c r="K7" s="25"/>
      <c r="L7" s="14"/>
      <c r="O7" s="149"/>
    </row>
    <row r="8" spans="2:15" ht="39.950000000000003" customHeight="1">
      <c r="B8" s="150" t="s">
        <v>253</v>
      </c>
      <c r="C8" s="3" t="s">
        <v>541</v>
      </c>
      <c r="D8" s="418" t="s">
        <v>238</v>
      </c>
      <c r="E8" s="8">
        <v>0</v>
      </c>
      <c r="F8" s="8">
        <v>3728</v>
      </c>
      <c r="G8" s="8">
        <v>0</v>
      </c>
      <c r="H8" s="8"/>
      <c r="I8" s="8">
        <f>H8</f>
        <v>0</v>
      </c>
      <c r="J8" s="8">
        <f>F8+G8-H8</f>
        <v>3728</v>
      </c>
      <c r="K8" s="3"/>
      <c r="L8" s="14" t="s">
        <v>679</v>
      </c>
      <c r="M8" s="430">
        <v>685.34</v>
      </c>
      <c r="O8" s="149">
        <v>3585</v>
      </c>
    </row>
    <row r="9" spans="2:15" ht="39.950000000000003" customHeight="1">
      <c r="B9" s="150" t="s">
        <v>254</v>
      </c>
      <c r="C9" s="3" t="s">
        <v>243</v>
      </c>
      <c r="D9" s="8" t="s">
        <v>232</v>
      </c>
      <c r="E9" s="8">
        <v>0</v>
      </c>
      <c r="F9" s="8">
        <v>2470</v>
      </c>
      <c r="G9" s="8">
        <v>0</v>
      </c>
      <c r="H9" s="8"/>
      <c r="I9" s="8">
        <f t="shared" ref="I9:I12" si="0">H9</f>
        <v>0</v>
      </c>
      <c r="J9" s="8">
        <f t="shared" ref="J9" si="1">F9+G9-H9</f>
        <v>2470</v>
      </c>
      <c r="K9" s="3"/>
      <c r="L9" s="14" t="s">
        <v>679</v>
      </c>
      <c r="M9" s="430">
        <v>479.68</v>
      </c>
      <c r="O9" s="149">
        <v>2375</v>
      </c>
    </row>
    <row r="10" spans="2:15" ht="15" customHeight="1">
      <c r="B10" s="419"/>
      <c r="C10" s="724" t="s">
        <v>677</v>
      </c>
      <c r="D10" s="724"/>
      <c r="E10" s="424"/>
      <c r="F10" s="424">
        <f>SUM(F8:F9)</f>
        <v>6198</v>
      </c>
      <c r="G10" s="424">
        <f>SUM(G8:G9)</f>
        <v>0</v>
      </c>
      <c r="H10" s="424"/>
      <c r="I10" s="424">
        <f>SUM(I8:I9)</f>
        <v>0</v>
      </c>
      <c r="J10" s="424">
        <f>SUM(J8:J9)</f>
        <v>6198</v>
      </c>
      <c r="K10" s="564"/>
      <c r="L10" s="14"/>
      <c r="N10" s="432">
        <f>M12/15</f>
        <v>149.4</v>
      </c>
      <c r="O10" s="149"/>
    </row>
    <row r="11" spans="2:15" ht="15" customHeight="1">
      <c r="B11" s="723" t="s">
        <v>676</v>
      </c>
      <c r="C11" s="723"/>
      <c r="D11" s="251"/>
      <c r="E11" s="251"/>
      <c r="F11" s="251"/>
      <c r="G11" s="251"/>
      <c r="H11" s="251"/>
      <c r="I11" s="251"/>
      <c r="J11" s="251"/>
      <c r="K11" s="14"/>
      <c r="L11" s="14"/>
      <c r="M11" s="431"/>
      <c r="N11" s="432">
        <f>N10*3</f>
        <v>448.20000000000005</v>
      </c>
      <c r="O11" s="420"/>
    </row>
    <row r="12" spans="2:15" s="359" customFormat="1" ht="39.950000000000003" customHeight="1">
      <c r="B12" s="355" t="s">
        <v>255</v>
      </c>
      <c r="C12" s="356" t="s">
        <v>402</v>
      </c>
      <c r="D12" s="299" t="s">
        <v>234</v>
      </c>
      <c r="E12" s="299">
        <v>0</v>
      </c>
      <c r="F12" s="299">
        <v>2098</v>
      </c>
      <c r="G12" s="299">
        <v>0</v>
      </c>
      <c r="H12" s="299"/>
      <c r="I12" s="299">
        <f t="shared" si="0"/>
        <v>0</v>
      </c>
      <c r="J12" s="299">
        <f>F12</f>
        <v>2098</v>
      </c>
      <c r="K12" s="356"/>
      <c r="L12" s="118" t="s">
        <v>680</v>
      </c>
      <c r="M12" s="432">
        <v>2241</v>
      </c>
      <c r="N12" s="430">
        <f>N11*100%*90%</f>
        <v>403.38000000000005</v>
      </c>
      <c r="O12" s="360">
        <v>2016.9</v>
      </c>
    </row>
    <row r="13" spans="2:15" ht="39.950000000000003" customHeight="1">
      <c r="B13" s="150" t="s">
        <v>256</v>
      </c>
      <c r="C13" s="3" t="s">
        <v>678</v>
      </c>
      <c r="D13" s="429" t="s">
        <v>682</v>
      </c>
      <c r="E13" s="8"/>
      <c r="F13" s="8">
        <v>2881</v>
      </c>
      <c r="G13" s="8">
        <v>0</v>
      </c>
      <c r="H13" s="8"/>
      <c r="I13" s="8">
        <v>0</v>
      </c>
      <c r="J13" s="8">
        <f>F13</f>
        <v>2881</v>
      </c>
      <c r="K13" s="3"/>
      <c r="L13" s="14" t="s">
        <v>681</v>
      </c>
      <c r="M13" s="430">
        <v>4621</v>
      </c>
      <c r="N13" s="430">
        <f>M13*100%*60%</f>
        <v>2772.6</v>
      </c>
      <c r="O13" s="149">
        <v>2770.6</v>
      </c>
    </row>
    <row r="14" spans="2:15" s="359" customFormat="1" ht="15" customHeight="1">
      <c r="B14" s="421"/>
      <c r="C14" s="725" t="s">
        <v>677</v>
      </c>
      <c r="D14" s="725"/>
      <c r="E14" s="423"/>
      <c r="F14" s="423">
        <f>SUM(F12:F13)</f>
        <v>4979</v>
      </c>
      <c r="G14" s="423">
        <f>SUM(G12)</f>
        <v>0</v>
      </c>
      <c r="H14" s="423"/>
      <c r="I14" s="423">
        <f>SUM(I12)</f>
        <v>0</v>
      </c>
      <c r="J14" s="423">
        <f>SUM(J12:J13)</f>
        <v>4979</v>
      </c>
      <c r="K14" s="563"/>
      <c r="L14" s="118"/>
      <c r="M14" s="432"/>
      <c r="O14" s="360"/>
    </row>
    <row r="15" spans="2:15" s="359" customFormat="1" ht="15" customHeight="1">
      <c r="B15" s="421"/>
      <c r="C15" s="118"/>
      <c r="D15" s="422"/>
      <c r="E15" s="422"/>
      <c r="F15" s="422"/>
      <c r="G15" s="422"/>
      <c r="H15" s="422"/>
      <c r="I15" s="422"/>
      <c r="J15" s="422"/>
      <c r="K15" s="118"/>
      <c r="L15" s="118"/>
      <c r="M15" s="432"/>
      <c r="O15" s="360"/>
    </row>
    <row r="16" spans="2:15" ht="15.75" thickBot="1">
      <c r="B16" s="155"/>
      <c r="C16" s="503" t="s">
        <v>44</v>
      </c>
      <c r="D16" s="504"/>
      <c r="E16" s="504">
        <f>SUM(E8:E12)</f>
        <v>0</v>
      </c>
      <c r="F16" s="504">
        <f>SUM(F10+F14)</f>
        <v>11177</v>
      </c>
      <c r="G16" s="504">
        <f>SUM(G8:G12)</f>
        <v>0</v>
      </c>
      <c r="H16" s="504">
        <f>SUM(H8:H12)</f>
        <v>0</v>
      </c>
      <c r="I16" s="504">
        <f>SUM(I8:I12)</f>
        <v>0</v>
      </c>
      <c r="J16" s="207">
        <f>SUM(J10+J14)</f>
        <v>11177</v>
      </c>
      <c r="K16" s="20"/>
      <c r="L16" s="20"/>
      <c r="N16" s="147"/>
      <c r="O16" s="149"/>
    </row>
    <row r="17" spans="2:19" ht="15.75" thickTop="1">
      <c r="J17" s="156" t="s">
        <v>45</v>
      </c>
      <c r="O17" s="149"/>
    </row>
    <row r="18" spans="2:19">
      <c r="O18" s="149"/>
      <c r="R18" s="152">
        <v>81333.070000000007</v>
      </c>
      <c r="S18" s="147" t="s">
        <v>211</v>
      </c>
    </row>
    <row r="19" spans="2:19">
      <c r="E19" s="160"/>
      <c r="F19" s="160"/>
      <c r="G19" s="160"/>
      <c r="H19" s="160"/>
      <c r="J19" s="160"/>
      <c r="K19" s="160"/>
      <c r="M19" s="431"/>
      <c r="O19" s="149"/>
      <c r="R19" s="152">
        <v>53056.03</v>
      </c>
      <c r="S19" s="147" t="s">
        <v>212</v>
      </c>
    </row>
    <row r="20" spans="2:19">
      <c r="B20" s="655" t="s">
        <v>738</v>
      </c>
      <c r="C20" s="655"/>
      <c r="E20" s="656" t="s">
        <v>784</v>
      </c>
      <c r="F20" s="656"/>
      <c r="G20" s="656"/>
      <c r="H20" s="656"/>
      <c r="J20" s="655" t="s">
        <v>673</v>
      </c>
      <c r="K20" s="655"/>
      <c r="L20" s="399"/>
      <c r="M20" s="433"/>
      <c r="O20" s="97"/>
      <c r="P20" s="97"/>
      <c r="R20" s="153"/>
    </row>
    <row r="21" spans="2:19">
      <c r="B21" s="656" t="s">
        <v>139</v>
      </c>
      <c r="C21" s="656"/>
      <c r="E21" s="656" t="s">
        <v>140</v>
      </c>
      <c r="F21" s="656"/>
      <c r="G21" s="656"/>
      <c r="H21" s="656"/>
      <c r="J21" s="656" t="s">
        <v>30</v>
      </c>
      <c r="K21" s="656"/>
      <c r="L21" s="399"/>
      <c r="M21" s="434"/>
      <c r="O21" s="5"/>
      <c r="P21" s="5"/>
    </row>
    <row r="22" spans="2:19">
      <c r="O22" s="149"/>
    </row>
    <row r="23" spans="2:19">
      <c r="J23" s="254">
        <f>F16+G16-H16</f>
        <v>11177</v>
      </c>
      <c r="O23" s="149"/>
      <c r="R23" s="152">
        <v>96237.05</v>
      </c>
      <c r="S23" s="147" t="s">
        <v>202</v>
      </c>
    </row>
    <row r="24" spans="2:19">
      <c r="J24" s="254">
        <f>J16-J23</f>
        <v>0</v>
      </c>
      <c r="O24" s="149"/>
    </row>
    <row r="25" spans="2:19">
      <c r="O25" s="149"/>
      <c r="R25" s="152">
        <v>103878.79</v>
      </c>
      <c r="S25" s="147" t="s">
        <v>209</v>
      </c>
    </row>
    <row r="26" spans="2:19">
      <c r="O26" s="149"/>
    </row>
    <row r="27" spans="2:19">
      <c r="O27" s="149"/>
      <c r="R27" s="152">
        <v>128320</v>
      </c>
      <c r="S27" s="147" t="s">
        <v>249</v>
      </c>
    </row>
    <row r="28" spans="2:19">
      <c r="O28" s="157"/>
      <c r="R28" s="158">
        <f>SUM(R16:R27)</f>
        <v>462824.94</v>
      </c>
      <c r="S28" s="147" t="s">
        <v>250</v>
      </c>
    </row>
    <row r="29" spans="2:19">
      <c r="O29" s="157"/>
    </row>
    <row r="30" spans="2:19">
      <c r="O30" s="157"/>
    </row>
    <row r="31" spans="2:19">
      <c r="O31" s="157"/>
    </row>
    <row r="32" spans="2:19">
      <c r="O32" s="157"/>
    </row>
    <row r="33" spans="15:15">
      <c r="O33" s="157"/>
    </row>
    <row r="34" spans="15:15">
      <c r="O34" s="157"/>
    </row>
    <row r="35" spans="15:15">
      <c r="O35" s="157"/>
    </row>
    <row r="36" spans="15:15">
      <c r="O36" s="157"/>
    </row>
    <row r="37" spans="15:15">
      <c r="O37" s="157"/>
    </row>
  </sheetData>
  <mergeCells count="12">
    <mergeCell ref="C1:G1"/>
    <mergeCell ref="B2:K2"/>
    <mergeCell ref="B3:K3"/>
    <mergeCell ref="B20:C20"/>
    <mergeCell ref="E20:H20"/>
    <mergeCell ref="J20:K20"/>
    <mergeCell ref="B21:C21"/>
    <mergeCell ref="E21:H21"/>
    <mergeCell ref="J21:K21"/>
    <mergeCell ref="B11:C11"/>
    <mergeCell ref="C10:D10"/>
    <mergeCell ref="C14:D14"/>
  </mergeCells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S35"/>
  <sheetViews>
    <sheetView workbookViewId="0">
      <selection activeCell="I4" sqref="I4"/>
    </sheetView>
  </sheetViews>
  <sheetFormatPr baseColWidth="10" defaultColWidth="13.42578125" defaultRowHeight="15"/>
  <cols>
    <col min="1" max="1" width="7" style="147" customWidth="1"/>
    <col min="2" max="2" width="12.28515625" style="147" customWidth="1"/>
    <col min="3" max="3" width="28.140625" style="147" customWidth="1"/>
    <col min="4" max="4" width="9.28515625" style="147" customWidth="1"/>
    <col min="5" max="5" width="12.7109375" style="147" customWidth="1"/>
    <col min="6" max="6" width="0" style="147" hidden="1" customWidth="1"/>
    <col min="7" max="8" width="13.42578125" style="147"/>
    <col min="9" max="9" width="12.5703125" style="147" customWidth="1"/>
    <col min="10" max="10" width="13.42578125" style="147"/>
    <col min="11" max="11" width="10.140625" style="147" bestFit="1" customWidth="1"/>
    <col min="12" max="12" width="28.5703125" style="147" customWidth="1"/>
    <col min="13" max="16384" width="13.42578125" style="147"/>
  </cols>
  <sheetData>
    <row r="1" spans="2:19">
      <c r="B1" s="34"/>
      <c r="C1" s="647"/>
      <c r="D1" s="648"/>
      <c r="E1" s="648"/>
      <c r="F1" s="648"/>
      <c r="G1" s="648"/>
      <c r="H1" s="648"/>
      <c r="I1" s="22"/>
      <c r="J1" s="22"/>
      <c r="K1" s="22"/>
      <c r="L1" s="22"/>
    </row>
    <row r="2" spans="2:19" ht="19.5">
      <c r="B2" s="649" t="s">
        <v>200</v>
      </c>
      <c r="C2" s="650"/>
      <c r="D2" s="650"/>
      <c r="E2" s="650"/>
      <c r="F2" s="650"/>
      <c r="G2" s="650"/>
      <c r="H2" s="650"/>
      <c r="I2" s="650"/>
      <c r="J2" s="650"/>
      <c r="K2" s="650"/>
      <c r="L2" s="651"/>
    </row>
    <row r="3" spans="2:19">
      <c r="B3" s="652" t="s">
        <v>835</v>
      </c>
      <c r="C3" s="653"/>
      <c r="D3" s="653"/>
      <c r="E3" s="653"/>
      <c r="F3" s="653"/>
      <c r="G3" s="653"/>
      <c r="H3" s="653"/>
      <c r="I3" s="653"/>
      <c r="J3" s="653"/>
      <c r="K3" s="653"/>
      <c r="L3" s="654"/>
    </row>
    <row r="4" spans="2:19">
      <c r="B4" s="23"/>
      <c r="C4" s="24" t="s">
        <v>0</v>
      </c>
      <c r="D4" s="14"/>
      <c r="E4" s="14"/>
      <c r="F4" s="14"/>
      <c r="G4" s="14"/>
      <c r="H4" s="14"/>
      <c r="I4" s="14"/>
      <c r="J4" s="14"/>
      <c r="K4" s="14"/>
      <c r="L4" s="25"/>
    </row>
    <row r="5" spans="2:19">
      <c r="B5" s="36"/>
      <c r="C5" s="37"/>
      <c r="D5" s="37"/>
      <c r="E5" s="37"/>
      <c r="F5" s="37"/>
      <c r="G5" s="37"/>
      <c r="H5" s="37"/>
      <c r="I5" s="37"/>
      <c r="J5" s="37"/>
      <c r="K5" s="37"/>
      <c r="L5" s="26"/>
    </row>
    <row r="6" spans="2:19" ht="33.75">
      <c r="B6" s="497" t="s">
        <v>1</v>
      </c>
      <c r="C6" s="729" t="s">
        <v>2</v>
      </c>
      <c r="D6" s="730"/>
      <c r="E6" s="446" t="s">
        <v>213</v>
      </c>
      <c r="F6" s="446" t="s">
        <v>4</v>
      </c>
      <c r="G6" s="446" t="s">
        <v>5</v>
      </c>
      <c r="H6" s="446" t="s">
        <v>43</v>
      </c>
      <c r="I6" s="446" t="s">
        <v>42</v>
      </c>
      <c r="J6" s="446" t="s">
        <v>6</v>
      </c>
      <c r="K6" s="446" t="s">
        <v>7</v>
      </c>
      <c r="L6" s="447" t="s">
        <v>29</v>
      </c>
    </row>
    <row r="7" spans="2:19">
      <c r="B7" s="41" t="s">
        <v>341</v>
      </c>
      <c r="C7" s="14"/>
      <c r="D7" s="14"/>
      <c r="E7" s="14"/>
      <c r="F7" s="14"/>
      <c r="G7" s="14"/>
      <c r="H7" s="14"/>
      <c r="I7" s="14"/>
      <c r="J7" s="14"/>
      <c r="K7" s="14"/>
      <c r="L7" s="148"/>
      <c r="O7" s="149"/>
    </row>
    <row r="8" spans="2:19" ht="39.950000000000003" customHeight="1">
      <c r="B8" s="150" t="s">
        <v>253</v>
      </c>
      <c r="C8" s="643" t="s">
        <v>334</v>
      </c>
      <c r="D8" s="644"/>
      <c r="E8" s="8" t="s">
        <v>216</v>
      </c>
      <c r="F8" s="8">
        <v>0</v>
      </c>
      <c r="G8" s="8">
        <v>4046</v>
      </c>
      <c r="H8" s="8">
        <v>0</v>
      </c>
      <c r="I8" s="8"/>
      <c r="J8" s="8">
        <f>I8</f>
        <v>0</v>
      </c>
      <c r="K8" s="151">
        <f>G8+H8-I8</f>
        <v>4046</v>
      </c>
      <c r="L8" s="148"/>
      <c r="O8" s="149"/>
    </row>
    <row r="9" spans="2:19" s="359" customFormat="1" ht="39.950000000000003" customHeight="1">
      <c r="B9" s="355" t="s">
        <v>254</v>
      </c>
      <c r="C9" s="727" t="s">
        <v>335</v>
      </c>
      <c r="D9" s="728"/>
      <c r="E9" s="299" t="s">
        <v>225</v>
      </c>
      <c r="F9" s="299">
        <v>0</v>
      </c>
      <c r="G9" s="299">
        <v>4830</v>
      </c>
      <c r="H9" s="299">
        <v>0</v>
      </c>
      <c r="I9" s="299"/>
      <c r="J9" s="299">
        <f t="shared" ref="J9:J13" si="0">I9</f>
        <v>0</v>
      </c>
      <c r="K9" s="357">
        <f>G9</f>
        <v>4830</v>
      </c>
      <c r="L9" s="358"/>
      <c r="O9" s="360"/>
    </row>
    <row r="10" spans="2:19" ht="39.950000000000003" customHeight="1">
      <c r="B10" s="150" t="s">
        <v>255</v>
      </c>
      <c r="C10" s="643" t="s">
        <v>336</v>
      </c>
      <c r="D10" s="644"/>
      <c r="E10" s="8" t="s">
        <v>232</v>
      </c>
      <c r="F10" s="8">
        <v>0</v>
      </c>
      <c r="G10" s="8">
        <v>2711</v>
      </c>
      <c r="H10" s="8">
        <v>0</v>
      </c>
      <c r="I10" s="8"/>
      <c r="J10" s="8">
        <f t="shared" si="0"/>
        <v>0</v>
      </c>
      <c r="K10" s="151">
        <f t="shared" ref="K10:K11" si="1">G10+H10-I10</f>
        <v>2711</v>
      </c>
      <c r="L10" s="116"/>
      <c r="O10" s="149"/>
    </row>
    <row r="11" spans="2:19" ht="39.950000000000003" customHeight="1">
      <c r="B11" s="150" t="s">
        <v>256</v>
      </c>
      <c r="C11" s="643" t="s">
        <v>337</v>
      </c>
      <c r="D11" s="644"/>
      <c r="E11" s="8" t="s">
        <v>232</v>
      </c>
      <c r="F11" s="8">
        <v>0</v>
      </c>
      <c r="G11" s="8">
        <v>3694</v>
      </c>
      <c r="H11" s="8">
        <v>0</v>
      </c>
      <c r="I11" s="8"/>
      <c r="J11" s="8">
        <f t="shared" si="0"/>
        <v>0</v>
      </c>
      <c r="K11" s="151">
        <f t="shared" si="1"/>
        <v>3694</v>
      </c>
      <c r="L11" s="116"/>
      <c r="O11" s="149"/>
    </row>
    <row r="12" spans="2:19" ht="39.950000000000003" customHeight="1">
      <c r="B12" s="150" t="s">
        <v>257</v>
      </c>
      <c r="C12" s="643" t="s">
        <v>338</v>
      </c>
      <c r="D12" s="644"/>
      <c r="E12" s="8" t="s">
        <v>339</v>
      </c>
      <c r="F12" s="8">
        <v>0</v>
      </c>
      <c r="G12" s="8">
        <v>5686</v>
      </c>
      <c r="H12" s="8">
        <v>0</v>
      </c>
      <c r="I12" s="8"/>
      <c r="J12" s="8">
        <f t="shared" si="0"/>
        <v>0</v>
      </c>
      <c r="K12" s="151">
        <f>G12</f>
        <v>5686</v>
      </c>
      <c r="L12" s="116"/>
      <c r="O12" s="149"/>
    </row>
    <row r="13" spans="2:19" ht="39.950000000000003" customHeight="1">
      <c r="B13" s="150" t="s">
        <v>258</v>
      </c>
      <c r="C13" s="643" t="s">
        <v>340</v>
      </c>
      <c r="D13" s="644"/>
      <c r="E13" s="8" t="s">
        <v>232</v>
      </c>
      <c r="F13" s="8">
        <v>0</v>
      </c>
      <c r="G13" s="8">
        <v>2640</v>
      </c>
      <c r="H13" s="8">
        <v>0</v>
      </c>
      <c r="I13" s="8"/>
      <c r="J13" s="8">
        <f t="shared" si="0"/>
        <v>0</v>
      </c>
      <c r="K13" s="151">
        <f>G13+H13-I13</f>
        <v>2640</v>
      </c>
      <c r="L13" s="3"/>
      <c r="O13" s="149"/>
    </row>
    <row r="14" spans="2:19" ht="15.75" thickBot="1">
      <c r="B14" s="155"/>
      <c r="C14" s="503" t="s">
        <v>44</v>
      </c>
      <c r="D14" s="504">
        <f>SUM(D8:D13)</f>
        <v>0</v>
      </c>
      <c r="E14" s="504"/>
      <c r="F14" s="504">
        <f t="shared" ref="F14:J14" si="2">SUM(F8:F13)</f>
        <v>0</v>
      </c>
      <c r="G14" s="504">
        <f>SUM(G8:G13)</f>
        <v>23607</v>
      </c>
      <c r="H14" s="504">
        <f t="shared" si="2"/>
        <v>0</v>
      </c>
      <c r="I14" s="504">
        <f t="shared" si="2"/>
        <v>0</v>
      </c>
      <c r="J14" s="504">
        <f t="shared" si="2"/>
        <v>0</v>
      </c>
      <c r="K14" s="207">
        <f>SUM(K8:K13)</f>
        <v>23607</v>
      </c>
      <c r="L14" s="537"/>
      <c r="O14" s="149"/>
    </row>
    <row r="15" spans="2:19" ht="15.75" thickTop="1">
      <c r="K15" s="156" t="s">
        <v>45</v>
      </c>
      <c r="O15" s="149"/>
    </row>
    <row r="16" spans="2:19">
      <c r="O16" s="149"/>
      <c r="R16" s="152">
        <v>81333.070000000007</v>
      </c>
      <c r="S16" s="147" t="s">
        <v>211</v>
      </c>
    </row>
    <row r="17" spans="2:19">
      <c r="F17" s="160"/>
      <c r="G17" s="160"/>
      <c r="H17" s="160"/>
      <c r="I17" s="160"/>
      <c r="K17" s="160"/>
      <c r="L17" s="160"/>
      <c r="O17" s="149"/>
      <c r="R17" s="152">
        <v>53056.03</v>
      </c>
      <c r="S17" s="147" t="s">
        <v>212</v>
      </c>
    </row>
    <row r="18" spans="2:19">
      <c r="B18" s="655" t="s">
        <v>738</v>
      </c>
      <c r="C18" s="655"/>
      <c r="D18" s="159"/>
      <c r="F18" s="726" t="s">
        <v>783</v>
      </c>
      <c r="G18" s="726"/>
      <c r="H18" s="726"/>
      <c r="I18" s="726"/>
      <c r="K18" s="655" t="s">
        <v>673</v>
      </c>
      <c r="L18" s="655"/>
      <c r="M18" s="5"/>
      <c r="O18" s="97"/>
      <c r="P18" s="97"/>
      <c r="R18" s="153"/>
    </row>
    <row r="19" spans="2:19">
      <c r="B19" s="656" t="s">
        <v>139</v>
      </c>
      <c r="C19" s="656"/>
      <c r="D19" s="5"/>
      <c r="F19" s="656" t="s">
        <v>140</v>
      </c>
      <c r="G19" s="656"/>
      <c r="H19" s="656"/>
      <c r="I19" s="656"/>
      <c r="K19" s="656" t="s">
        <v>30</v>
      </c>
      <c r="L19" s="656"/>
      <c r="M19" s="5"/>
      <c r="O19" s="5"/>
      <c r="P19" s="5"/>
    </row>
    <row r="20" spans="2:19">
      <c r="O20" s="149"/>
    </row>
    <row r="21" spans="2:19">
      <c r="K21" s="254">
        <f>G14+H14-I14</f>
        <v>23607</v>
      </c>
      <c r="O21" s="149"/>
      <c r="R21" s="152">
        <v>96237.05</v>
      </c>
      <c r="S21" s="147" t="s">
        <v>202</v>
      </c>
    </row>
    <row r="22" spans="2:19">
      <c r="K22" s="254">
        <f>K14-K21</f>
        <v>0</v>
      </c>
      <c r="O22" s="149"/>
    </row>
    <row r="23" spans="2:19">
      <c r="O23" s="149"/>
      <c r="R23" s="152">
        <v>103878.79</v>
      </c>
      <c r="S23" s="147" t="s">
        <v>209</v>
      </c>
    </row>
    <row r="24" spans="2:19">
      <c r="O24" s="149"/>
    </row>
    <row r="25" spans="2:19">
      <c r="O25" s="149"/>
      <c r="R25" s="152">
        <v>128320</v>
      </c>
      <c r="S25" s="147" t="s">
        <v>249</v>
      </c>
    </row>
    <row r="26" spans="2:19">
      <c r="O26" s="157"/>
      <c r="R26" s="158">
        <f>SUM(R14:R25)</f>
        <v>462824.94</v>
      </c>
      <c r="S26" s="147" t="s">
        <v>250</v>
      </c>
    </row>
    <row r="27" spans="2:19">
      <c r="O27" s="157"/>
    </row>
    <row r="28" spans="2:19">
      <c r="O28" s="157"/>
    </row>
    <row r="29" spans="2:19">
      <c r="O29" s="157"/>
    </row>
    <row r="30" spans="2:19">
      <c r="O30" s="157"/>
    </row>
    <row r="31" spans="2:19">
      <c r="O31" s="157"/>
    </row>
    <row r="32" spans="2:19">
      <c r="O32" s="157"/>
    </row>
    <row r="33" spans="15:15">
      <c r="O33" s="157"/>
    </row>
    <row r="34" spans="15:15">
      <c r="O34" s="157"/>
    </row>
    <row r="35" spans="15:15">
      <c r="O35" s="157"/>
    </row>
  </sheetData>
  <mergeCells count="16">
    <mergeCell ref="B19:C19"/>
    <mergeCell ref="F19:I19"/>
    <mergeCell ref="K19:L19"/>
    <mergeCell ref="C1:H1"/>
    <mergeCell ref="B2:L2"/>
    <mergeCell ref="B3:L3"/>
    <mergeCell ref="B18:C18"/>
    <mergeCell ref="F18:I18"/>
    <mergeCell ref="K18:L18"/>
    <mergeCell ref="C8:D8"/>
    <mergeCell ref="C9:D9"/>
    <mergeCell ref="C10:D10"/>
    <mergeCell ref="C11:D11"/>
    <mergeCell ref="C12:D12"/>
    <mergeCell ref="C13:D13"/>
    <mergeCell ref="C6:D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5" fitToWidth="3" fitToHeight="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N81"/>
  <sheetViews>
    <sheetView topLeftCell="A72" zoomScale="91" zoomScaleNormal="91" workbookViewId="0">
      <selection activeCell="E74" sqref="E74"/>
    </sheetView>
  </sheetViews>
  <sheetFormatPr baseColWidth="10" defaultRowHeight="15"/>
  <cols>
    <col min="1" max="1" width="5.5703125" customWidth="1"/>
    <col min="2" max="2" width="4.28515625" customWidth="1"/>
    <col min="3" max="3" width="39.85546875" customWidth="1"/>
    <col min="4" max="4" width="1.5703125" hidden="1" customWidth="1"/>
    <col min="5" max="5" width="43.7109375" customWidth="1"/>
    <col min="6" max="6" width="29.42578125" customWidth="1"/>
    <col min="7" max="7" width="8.42578125" hidden="1" customWidth="1"/>
    <col min="8" max="8" width="0.28515625" style="347" customWidth="1"/>
    <col min="9" max="9" width="16.28515625" style="229" customWidth="1"/>
    <col min="10" max="10" width="20.28515625" style="229" customWidth="1"/>
    <col min="11" max="11" width="13" style="229" bestFit="1" customWidth="1"/>
    <col min="12" max="12" width="40.42578125" customWidth="1"/>
    <col min="13" max="13" width="28.7109375" customWidth="1"/>
    <col min="14" max="14" width="21.5703125" customWidth="1"/>
  </cols>
  <sheetData>
    <row r="1" spans="2:14" ht="9" customHeight="1"/>
    <row r="2" spans="2:14" ht="18.75">
      <c r="C2" s="731" t="s">
        <v>525</v>
      </c>
      <c r="D2" s="731"/>
      <c r="E2" s="731"/>
      <c r="F2" s="731"/>
      <c r="G2" s="731"/>
      <c r="H2" s="731"/>
      <c r="I2" s="731"/>
      <c r="J2" s="731"/>
      <c r="K2" s="731"/>
      <c r="L2" s="731"/>
    </row>
    <row r="3" spans="2:14" ht="18.75">
      <c r="C3" s="731" t="s">
        <v>540</v>
      </c>
      <c r="D3" s="731"/>
      <c r="E3" s="731"/>
      <c r="F3" s="731"/>
      <c r="G3" s="731"/>
      <c r="H3" s="731"/>
      <c r="I3" s="731"/>
      <c r="J3" s="731"/>
      <c r="K3" s="731"/>
      <c r="L3" s="731"/>
    </row>
    <row r="4" spans="2:14" ht="8.25" customHeight="1">
      <c r="C4" s="230"/>
      <c r="D4" s="230"/>
      <c r="E4" s="230"/>
      <c r="F4" s="230"/>
      <c r="G4" s="231"/>
      <c r="H4" s="348"/>
      <c r="I4" s="275"/>
      <c r="J4" s="275"/>
    </row>
    <row r="5" spans="2:14" ht="18.75">
      <c r="C5" s="231"/>
      <c r="D5" s="731" t="s">
        <v>836</v>
      </c>
      <c r="E5" s="731"/>
      <c r="F5" s="731"/>
      <c r="G5" s="731"/>
      <c r="H5" s="731"/>
      <c r="I5" s="731"/>
      <c r="J5" s="731"/>
      <c r="K5" s="232"/>
      <c r="L5" s="233"/>
    </row>
    <row r="7" spans="2:14" ht="28.5" customHeight="1">
      <c r="B7" s="500"/>
      <c r="C7" s="501" t="s">
        <v>265</v>
      </c>
      <c r="D7" s="501" t="s">
        <v>51</v>
      </c>
      <c r="E7" s="501" t="s">
        <v>435</v>
      </c>
      <c r="F7" s="501" t="s">
        <v>436</v>
      </c>
      <c r="G7" s="501"/>
      <c r="H7" s="502"/>
      <c r="I7" s="502" t="s">
        <v>267</v>
      </c>
      <c r="J7" s="502" t="s">
        <v>549</v>
      </c>
      <c r="K7" s="502" t="s">
        <v>501</v>
      </c>
      <c r="L7" s="501" t="s">
        <v>29</v>
      </c>
    </row>
    <row r="9" spans="2:14" ht="30" customHeight="1">
      <c r="B9" s="161">
        <v>1</v>
      </c>
      <c r="C9" s="161" t="s">
        <v>780</v>
      </c>
      <c r="D9" s="161" t="s">
        <v>437</v>
      </c>
      <c r="E9" s="161" t="s">
        <v>438</v>
      </c>
      <c r="F9" s="161" t="s">
        <v>439</v>
      </c>
      <c r="G9" s="161">
        <f>G5</f>
        <v>0</v>
      </c>
      <c r="H9" s="349">
        <f>5174/2</f>
        <v>2587</v>
      </c>
      <c r="I9" s="276">
        <v>2690</v>
      </c>
      <c r="J9" s="274"/>
      <c r="K9" s="234">
        <f>I9-J9</f>
        <v>2690</v>
      </c>
      <c r="L9" s="161"/>
      <c r="M9" t="s">
        <v>779</v>
      </c>
    </row>
    <row r="10" spans="2:14" ht="30" customHeight="1">
      <c r="B10" s="161">
        <f>B9+1</f>
        <v>2</v>
      </c>
      <c r="C10" s="161" t="s">
        <v>271</v>
      </c>
      <c r="D10" s="161"/>
      <c r="E10" s="161" t="s">
        <v>440</v>
      </c>
      <c r="F10" s="161" t="s">
        <v>441</v>
      </c>
      <c r="G10" s="161">
        <f>G9</f>
        <v>0</v>
      </c>
      <c r="H10" s="349">
        <f>4578/2</f>
        <v>2289</v>
      </c>
      <c r="I10" s="276">
        <v>2381</v>
      </c>
      <c r="J10" s="274"/>
      <c r="K10" s="234">
        <f t="shared" ref="K10:K42" si="0">I10-J10</f>
        <v>2381</v>
      </c>
      <c r="L10" s="161"/>
    </row>
    <row r="11" spans="2:14" ht="30" customHeight="1">
      <c r="B11" s="161">
        <f t="shared" ref="B11:B14" si="1">B10+1</f>
        <v>3</v>
      </c>
      <c r="C11" s="161" t="s">
        <v>272</v>
      </c>
      <c r="D11" s="161" t="s">
        <v>442</v>
      </c>
      <c r="E11" s="161" t="s">
        <v>443</v>
      </c>
      <c r="F11" s="161" t="s">
        <v>444</v>
      </c>
      <c r="G11" s="161" t="e">
        <f>#REF!</f>
        <v>#REF!</v>
      </c>
      <c r="H11" s="350">
        <f>3790/2</f>
        <v>1895</v>
      </c>
      <c r="I11" s="276">
        <v>1971</v>
      </c>
      <c r="J11" s="276"/>
      <c r="K11" s="234">
        <f t="shared" si="0"/>
        <v>1971</v>
      </c>
      <c r="L11" s="161"/>
    </row>
    <row r="12" spans="2:14" ht="30" customHeight="1">
      <c r="B12" s="161">
        <f>B11+1</f>
        <v>4</v>
      </c>
      <c r="C12" s="161" t="s">
        <v>605</v>
      </c>
      <c r="D12" s="161" t="s">
        <v>445</v>
      </c>
      <c r="E12" s="161" t="s">
        <v>446</v>
      </c>
      <c r="F12" s="161" t="s">
        <v>447</v>
      </c>
      <c r="G12" s="161" t="e">
        <f>G65</f>
        <v>#REF!</v>
      </c>
      <c r="H12" s="350">
        <f>5242/2</f>
        <v>2621</v>
      </c>
      <c r="I12" s="276">
        <v>2726</v>
      </c>
      <c r="J12" s="276"/>
      <c r="K12" s="234">
        <f t="shared" si="0"/>
        <v>2726</v>
      </c>
      <c r="L12" s="161"/>
      <c r="M12" t="s">
        <v>606</v>
      </c>
      <c r="N12" t="s">
        <v>623</v>
      </c>
    </row>
    <row r="13" spans="2:14" ht="30" customHeight="1">
      <c r="B13" s="161">
        <f t="shared" si="1"/>
        <v>5</v>
      </c>
      <c r="C13" s="161" t="s">
        <v>448</v>
      </c>
      <c r="D13" s="161"/>
      <c r="E13" s="161" t="s">
        <v>449</v>
      </c>
      <c r="F13" s="161" t="s">
        <v>444</v>
      </c>
      <c r="G13" s="161" t="e">
        <f t="shared" ref="G13:G39" si="2">G12</f>
        <v>#REF!</v>
      </c>
      <c r="H13" s="350">
        <f>7720/2</f>
        <v>3860</v>
      </c>
      <c r="I13" s="276">
        <v>4014</v>
      </c>
      <c r="J13" s="276"/>
      <c r="K13" s="234">
        <f>I13-J13</f>
        <v>4014</v>
      </c>
      <c r="L13" s="161"/>
    </row>
    <row r="14" spans="2:14" ht="30" customHeight="1">
      <c r="B14" s="161">
        <f t="shared" si="1"/>
        <v>6</v>
      </c>
      <c r="C14" s="161" t="s">
        <v>274</v>
      </c>
      <c r="D14" s="161" t="s">
        <v>450</v>
      </c>
      <c r="E14" s="161" t="s">
        <v>451</v>
      </c>
      <c r="F14" s="161" t="s">
        <v>452</v>
      </c>
      <c r="G14" s="161" t="e">
        <f>#REF!</f>
        <v>#REF!</v>
      </c>
      <c r="H14" s="350">
        <f>6608/2</f>
        <v>3304</v>
      </c>
      <c r="I14" s="276">
        <v>3436</v>
      </c>
      <c r="J14" s="276"/>
      <c r="K14" s="234">
        <f t="shared" si="0"/>
        <v>3436</v>
      </c>
      <c r="L14" s="161"/>
    </row>
    <row r="15" spans="2:14" ht="30" customHeight="1">
      <c r="B15" s="161">
        <f>B14+1</f>
        <v>7</v>
      </c>
      <c r="C15" s="161" t="s">
        <v>684</v>
      </c>
      <c r="D15" s="161" t="s">
        <v>453</v>
      </c>
      <c r="E15" s="161" t="s">
        <v>454</v>
      </c>
      <c r="F15" s="161" t="s">
        <v>444</v>
      </c>
      <c r="G15" s="161" t="e">
        <f>G14</f>
        <v>#REF!</v>
      </c>
      <c r="H15" s="350">
        <f>3510/2</f>
        <v>1755</v>
      </c>
      <c r="I15" s="276">
        <v>1664</v>
      </c>
      <c r="J15" s="276"/>
      <c r="K15" s="234">
        <f t="shared" si="0"/>
        <v>1664</v>
      </c>
      <c r="L15" s="161"/>
      <c r="M15" t="s">
        <v>685</v>
      </c>
      <c r="N15" t="s">
        <v>765</v>
      </c>
    </row>
    <row r="16" spans="2:14" ht="30" customHeight="1">
      <c r="B16" s="161">
        <f t="shared" ref="B16:B53" si="3">B15+1</f>
        <v>8</v>
      </c>
      <c r="C16" s="161" t="s">
        <v>275</v>
      </c>
      <c r="D16" s="161"/>
      <c r="E16" s="161" t="s">
        <v>455</v>
      </c>
      <c r="F16" s="161"/>
      <c r="G16" s="161" t="e">
        <f>G67</f>
        <v>#REF!</v>
      </c>
      <c r="H16" s="349">
        <f>6240/2</f>
        <v>3120</v>
      </c>
      <c r="I16" s="276">
        <v>3245</v>
      </c>
      <c r="J16" s="276"/>
      <c r="K16" s="234">
        <f t="shared" si="0"/>
        <v>3245</v>
      </c>
      <c r="L16" s="161"/>
      <c r="M16" s="415"/>
    </row>
    <row r="17" spans="2:14" ht="30" customHeight="1">
      <c r="B17" s="161">
        <f t="shared" si="3"/>
        <v>9</v>
      </c>
      <c r="C17" s="161" t="s">
        <v>276</v>
      </c>
      <c r="D17" s="161" t="s">
        <v>456</v>
      </c>
      <c r="E17" s="161" t="s">
        <v>457</v>
      </c>
      <c r="F17" s="572" t="s">
        <v>614</v>
      </c>
      <c r="G17" s="161" t="e">
        <f t="shared" si="2"/>
        <v>#REF!</v>
      </c>
      <c r="H17" s="350">
        <f>6128/2</f>
        <v>3064</v>
      </c>
      <c r="I17" s="276">
        <v>3187</v>
      </c>
      <c r="J17" s="276"/>
      <c r="K17" s="234">
        <f t="shared" si="0"/>
        <v>3187</v>
      </c>
      <c r="L17" s="161"/>
      <c r="M17" s="415"/>
      <c r="N17">
        <v>3187</v>
      </c>
    </row>
    <row r="18" spans="2:14" ht="30" customHeight="1">
      <c r="B18" s="161">
        <f t="shared" si="3"/>
        <v>10</v>
      </c>
      <c r="C18" s="161" t="s">
        <v>277</v>
      </c>
      <c r="D18" s="161"/>
      <c r="E18" s="161" t="s">
        <v>458</v>
      </c>
      <c r="F18" s="161" t="s">
        <v>444</v>
      </c>
      <c r="G18" s="161" t="e">
        <f t="shared" si="2"/>
        <v>#REF!</v>
      </c>
      <c r="H18" s="349">
        <f>7330/2</f>
        <v>3665</v>
      </c>
      <c r="I18" s="276">
        <v>3812</v>
      </c>
      <c r="J18" s="276"/>
      <c r="K18" s="234">
        <f t="shared" si="0"/>
        <v>3812</v>
      </c>
      <c r="L18" s="161"/>
    </row>
    <row r="19" spans="2:14" ht="30" customHeight="1">
      <c r="B19" s="161">
        <f t="shared" si="3"/>
        <v>11</v>
      </c>
      <c r="C19" s="161" t="s">
        <v>278</v>
      </c>
      <c r="D19" s="161" t="s">
        <v>459</v>
      </c>
      <c r="E19" s="161" t="s">
        <v>438</v>
      </c>
      <c r="F19" s="161"/>
      <c r="G19" s="161" t="e">
        <f t="shared" si="2"/>
        <v>#REF!</v>
      </c>
      <c r="H19" s="349">
        <f>6240/2</f>
        <v>3120</v>
      </c>
      <c r="I19" s="276">
        <v>3245</v>
      </c>
      <c r="J19" s="274"/>
      <c r="K19" s="234">
        <f t="shared" si="0"/>
        <v>3245</v>
      </c>
      <c r="L19" s="161"/>
    </row>
    <row r="20" spans="2:14" ht="30" customHeight="1">
      <c r="B20" s="161">
        <f t="shared" si="3"/>
        <v>12</v>
      </c>
      <c r="C20" s="161" t="s">
        <v>279</v>
      </c>
      <c r="D20" s="161" t="s">
        <v>460</v>
      </c>
      <c r="E20" s="161" t="s">
        <v>461</v>
      </c>
      <c r="F20" s="161" t="s">
        <v>462</v>
      </c>
      <c r="G20" s="161" t="e">
        <f>#REF!</f>
        <v>#REF!</v>
      </c>
      <c r="H20" s="349">
        <f>4210/2</f>
        <v>2105</v>
      </c>
      <c r="I20" s="276">
        <v>2189</v>
      </c>
      <c r="J20" s="274"/>
      <c r="K20" s="234">
        <f t="shared" si="0"/>
        <v>2189</v>
      </c>
      <c r="L20" s="161"/>
    </row>
    <row r="21" spans="2:14" ht="30" customHeight="1">
      <c r="B21" s="161">
        <v>14</v>
      </c>
      <c r="C21" s="161" t="s">
        <v>788</v>
      </c>
      <c r="D21" s="161"/>
      <c r="E21" s="161" t="s">
        <v>789</v>
      </c>
      <c r="F21" s="161" t="s">
        <v>444</v>
      </c>
      <c r="G21" s="161"/>
      <c r="H21" s="349"/>
      <c r="I21" s="276">
        <v>3855</v>
      </c>
      <c r="J21" s="274"/>
      <c r="K21" s="234">
        <f t="shared" si="0"/>
        <v>3855</v>
      </c>
      <c r="L21" s="161"/>
    </row>
    <row r="22" spans="2:14" ht="30" customHeight="1">
      <c r="B22" s="161">
        <v>15</v>
      </c>
      <c r="C22" s="161" t="s">
        <v>280</v>
      </c>
      <c r="D22" s="161" t="s">
        <v>463</v>
      </c>
      <c r="E22" s="161" t="s">
        <v>464</v>
      </c>
      <c r="F22" s="161" t="s">
        <v>444</v>
      </c>
      <c r="G22" s="161" t="e">
        <f>#REF!</f>
        <v>#REF!</v>
      </c>
      <c r="H22" s="349">
        <f>4992/2</f>
        <v>2496</v>
      </c>
      <c r="I22" s="276">
        <v>3214</v>
      </c>
      <c r="J22" s="276"/>
      <c r="K22" s="234">
        <f t="shared" si="0"/>
        <v>3214</v>
      </c>
      <c r="L22" s="161"/>
      <c r="M22" s="435"/>
    </row>
    <row r="23" spans="2:14" ht="30" customHeight="1">
      <c r="B23" s="161">
        <f t="shared" si="3"/>
        <v>16</v>
      </c>
      <c r="C23" s="161" t="s">
        <v>572</v>
      </c>
      <c r="D23" s="161" t="s">
        <v>465</v>
      </c>
      <c r="E23" s="161" t="s">
        <v>466</v>
      </c>
      <c r="F23" s="161" t="s">
        <v>444</v>
      </c>
      <c r="G23" s="161" t="e">
        <f t="shared" si="2"/>
        <v>#REF!</v>
      </c>
      <c r="H23" s="349">
        <f>5848/2</f>
        <v>2924</v>
      </c>
      <c r="I23" s="276">
        <v>3811</v>
      </c>
      <c r="J23" s="274"/>
      <c r="K23" s="234">
        <f t="shared" si="0"/>
        <v>3811</v>
      </c>
      <c r="L23" s="161"/>
    </row>
    <row r="24" spans="2:14" ht="30" customHeight="1">
      <c r="B24" s="161">
        <f t="shared" si="3"/>
        <v>17</v>
      </c>
      <c r="C24" s="161" t="s">
        <v>467</v>
      </c>
      <c r="D24" s="161" t="s">
        <v>468</v>
      </c>
      <c r="E24" s="161" t="s">
        <v>469</v>
      </c>
      <c r="F24" s="161" t="s">
        <v>444</v>
      </c>
      <c r="G24" s="161" t="e">
        <f t="shared" si="2"/>
        <v>#REF!</v>
      </c>
      <c r="H24" s="349">
        <f>7060/2</f>
        <v>3530</v>
      </c>
      <c r="I24" s="276">
        <v>3671</v>
      </c>
      <c r="J24" s="274"/>
      <c r="K24" s="234">
        <f t="shared" si="0"/>
        <v>3671</v>
      </c>
      <c r="L24" s="161"/>
    </row>
    <row r="25" spans="2:14" ht="30" customHeight="1">
      <c r="B25" s="161">
        <f t="shared" si="3"/>
        <v>18</v>
      </c>
      <c r="C25" s="161" t="s">
        <v>281</v>
      </c>
      <c r="D25" s="161"/>
      <c r="E25" s="161" t="s">
        <v>470</v>
      </c>
      <c r="F25" s="161" t="s">
        <v>444</v>
      </c>
      <c r="G25" s="161" t="e">
        <f t="shared" si="2"/>
        <v>#REF!</v>
      </c>
      <c r="H25" s="349">
        <f>7414/2</f>
        <v>3707</v>
      </c>
      <c r="I25" s="276">
        <v>3855</v>
      </c>
      <c r="J25" s="274"/>
      <c r="K25" s="234">
        <f t="shared" si="0"/>
        <v>3855</v>
      </c>
      <c r="L25" s="161"/>
    </row>
    <row r="26" spans="2:14" ht="30" customHeight="1">
      <c r="B26" s="161">
        <f t="shared" si="3"/>
        <v>19</v>
      </c>
      <c r="C26" s="161" t="s">
        <v>283</v>
      </c>
      <c r="D26" s="161" t="s">
        <v>471</v>
      </c>
      <c r="E26" s="161" t="s">
        <v>472</v>
      </c>
      <c r="F26" s="161"/>
      <c r="G26" s="161" t="e">
        <f t="shared" si="2"/>
        <v>#REF!</v>
      </c>
      <c r="H26" s="349">
        <f>3510/2</f>
        <v>1755</v>
      </c>
      <c r="I26" s="276">
        <v>1825</v>
      </c>
      <c r="J26" s="274"/>
      <c r="K26" s="234">
        <f t="shared" si="0"/>
        <v>1825</v>
      </c>
      <c r="L26" s="161"/>
    </row>
    <row r="27" spans="2:14" ht="30" customHeight="1">
      <c r="B27" s="161">
        <f t="shared" si="3"/>
        <v>20</v>
      </c>
      <c r="C27" s="161" t="s">
        <v>284</v>
      </c>
      <c r="D27" s="161" t="s">
        <v>473</v>
      </c>
      <c r="E27" s="161" t="s">
        <v>474</v>
      </c>
      <c r="F27" s="161" t="s">
        <v>444</v>
      </c>
      <c r="G27" s="161" t="e">
        <f t="shared" si="2"/>
        <v>#REF!</v>
      </c>
      <c r="H27" s="350">
        <f>6438/2</f>
        <v>3219</v>
      </c>
      <c r="I27" s="276">
        <v>3348</v>
      </c>
      <c r="J27" s="276"/>
      <c r="K27" s="234">
        <f t="shared" si="0"/>
        <v>3348</v>
      </c>
      <c r="L27" s="161"/>
    </row>
    <row r="28" spans="2:14" ht="30" customHeight="1">
      <c r="B28" s="161">
        <f>B27+1</f>
        <v>21</v>
      </c>
      <c r="C28" s="161" t="s">
        <v>567</v>
      </c>
      <c r="D28" s="161"/>
      <c r="E28" s="161" t="s">
        <v>568</v>
      </c>
      <c r="F28" s="161"/>
      <c r="G28" s="161" t="e">
        <f>G27</f>
        <v>#REF!</v>
      </c>
      <c r="H28" s="350">
        <f>7488/2</f>
        <v>3744</v>
      </c>
      <c r="I28" s="276">
        <v>3894</v>
      </c>
      <c r="J28" s="276"/>
      <c r="K28" s="234">
        <f t="shared" si="0"/>
        <v>3894</v>
      </c>
      <c r="L28" s="161"/>
      <c r="M28" t="s">
        <v>571</v>
      </c>
      <c r="N28" t="s">
        <v>646</v>
      </c>
    </row>
    <row r="29" spans="2:14" ht="30" customHeight="1">
      <c r="B29" s="161">
        <f t="shared" si="3"/>
        <v>22</v>
      </c>
      <c r="C29" s="161" t="s">
        <v>475</v>
      </c>
      <c r="D29" s="161" t="s">
        <v>476</v>
      </c>
      <c r="E29" s="161" t="s">
        <v>438</v>
      </c>
      <c r="F29" s="161"/>
      <c r="G29" s="161" t="e">
        <f>#REF!</f>
        <v>#REF!</v>
      </c>
      <c r="H29" s="349">
        <f>6240/2</f>
        <v>3120</v>
      </c>
      <c r="I29" s="276">
        <v>3245</v>
      </c>
      <c r="J29" s="274"/>
      <c r="K29" s="234">
        <f t="shared" si="0"/>
        <v>3245</v>
      </c>
      <c r="L29" s="161"/>
    </row>
    <row r="30" spans="2:14" ht="30" customHeight="1">
      <c r="B30" s="161">
        <f>B29+1</f>
        <v>23</v>
      </c>
      <c r="C30" s="161" t="s">
        <v>537</v>
      </c>
      <c r="D30" s="161"/>
      <c r="E30" s="161" t="s">
        <v>538</v>
      </c>
      <c r="F30" s="161"/>
      <c r="G30" s="161"/>
      <c r="H30" s="350">
        <f>7072/2</f>
        <v>3536</v>
      </c>
      <c r="I30" s="276">
        <v>3677</v>
      </c>
      <c r="J30" s="276"/>
      <c r="K30" s="234">
        <f t="shared" si="0"/>
        <v>3677</v>
      </c>
      <c r="L30" s="161"/>
      <c r="M30" s="270" t="s">
        <v>545</v>
      </c>
      <c r="N30" t="s">
        <v>628</v>
      </c>
    </row>
    <row r="31" spans="2:14" ht="30" customHeight="1">
      <c r="B31" s="161">
        <f t="shared" si="3"/>
        <v>24</v>
      </c>
      <c r="C31" s="161" t="s">
        <v>477</v>
      </c>
      <c r="D31" s="161" t="s">
        <v>478</v>
      </c>
      <c r="E31" s="161" t="s">
        <v>479</v>
      </c>
      <c r="F31" s="161" t="s">
        <v>480</v>
      </c>
      <c r="G31" s="161" t="e">
        <f>G29</f>
        <v>#REF!</v>
      </c>
      <c r="H31" s="349">
        <f>3536/2</f>
        <v>1768</v>
      </c>
      <c r="I31" s="276">
        <v>1839</v>
      </c>
      <c r="J31" s="274"/>
      <c r="K31" s="234">
        <f t="shared" si="0"/>
        <v>1839</v>
      </c>
      <c r="L31" s="161"/>
    </row>
    <row r="32" spans="2:14" ht="30" customHeight="1">
      <c r="B32" s="161">
        <f t="shared" si="3"/>
        <v>25</v>
      </c>
      <c r="C32" s="161" t="s">
        <v>285</v>
      </c>
      <c r="D32" s="161"/>
      <c r="E32" s="161" t="s">
        <v>455</v>
      </c>
      <c r="F32" s="161"/>
      <c r="G32" s="161" t="e">
        <f>G68</f>
        <v>#REF!</v>
      </c>
      <c r="H32" s="350">
        <f>6864/2</f>
        <v>3432</v>
      </c>
      <c r="I32" s="276">
        <v>3569</v>
      </c>
      <c r="J32" s="276"/>
      <c r="K32" s="234">
        <f t="shared" si="0"/>
        <v>3569</v>
      </c>
      <c r="L32" s="161"/>
    </row>
    <row r="33" spans="2:14" ht="30" customHeight="1">
      <c r="B33" s="161">
        <f>B32+1</f>
        <v>26</v>
      </c>
      <c r="C33" s="161" t="s">
        <v>287</v>
      </c>
      <c r="D33" s="161"/>
      <c r="E33" s="161" t="s">
        <v>438</v>
      </c>
      <c r="F33" s="161"/>
      <c r="G33" s="161" t="e">
        <f>#REF!</f>
        <v>#REF!</v>
      </c>
      <c r="H33" s="350">
        <f>6240/2</f>
        <v>3120</v>
      </c>
      <c r="I33" s="276">
        <v>3569</v>
      </c>
      <c r="J33" s="276"/>
      <c r="K33" s="234">
        <f t="shared" si="0"/>
        <v>3569</v>
      </c>
      <c r="L33" s="161"/>
      <c r="M33" t="s">
        <v>707</v>
      </c>
    </row>
    <row r="34" spans="2:14" ht="30" customHeight="1">
      <c r="B34" s="161">
        <f t="shared" si="3"/>
        <v>27</v>
      </c>
      <c r="C34" s="161" t="s">
        <v>286</v>
      </c>
      <c r="D34" s="161" t="s">
        <v>481</v>
      </c>
      <c r="E34" s="262" t="s">
        <v>482</v>
      </c>
      <c r="F34" s="161" t="s">
        <v>452</v>
      </c>
      <c r="G34" s="161" t="e">
        <f t="shared" si="2"/>
        <v>#REF!</v>
      </c>
      <c r="H34" s="349">
        <f>5824/2</f>
        <v>2912</v>
      </c>
      <c r="I34" s="276">
        <v>3432</v>
      </c>
      <c r="J34" s="274"/>
      <c r="K34" s="234">
        <f t="shared" si="0"/>
        <v>3432</v>
      </c>
      <c r="L34" s="161"/>
    </row>
    <row r="35" spans="2:14" ht="30" customHeight="1">
      <c r="B35" s="161">
        <f t="shared" si="3"/>
        <v>28</v>
      </c>
      <c r="C35" s="161" t="s">
        <v>483</v>
      </c>
      <c r="D35" s="161" t="s">
        <v>484</v>
      </c>
      <c r="E35" s="161" t="s">
        <v>482</v>
      </c>
      <c r="F35" s="161" t="s">
        <v>462</v>
      </c>
      <c r="G35" s="161" t="e">
        <f t="shared" si="2"/>
        <v>#REF!</v>
      </c>
      <c r="H35" s="349">
        <f>4784/2</f>
        <v>2392</v>
      </c>
      <c r="I35" s="276">
        <v>2488</v>
      </c>
      <c r="J35" s="274"/>
      <c r="K35" s="234">
        <f t="shared" si="0"/>
        <v>2488</v>
      </c>
      <c r="L35" s="161"/>
    </row>
    <row r="36" spans="2:14" ht="30" customHeight="1">
      <c r="B36" s="161">
        <f t="shared" si="3"/>
        <v>29</v>
      </c>
      <c r="C36" s="262" t="s">
        <v>485</v>
      </c>
      <c r="D36" s="262"/>
      <c r="E36" s="262" t="s">
        <v>486</v>
      </c>
      <c r="F36" s="262" t="s">
        <v>441</v>
      </c>
      <c r="G36" s="262" t="e">
        <f t="shared" si="2"/>
        <v>#REF!</v>
      </c>
      <c r="H36" s="408">
        <f>6256/2</f>
        <v>3128</v>
      </c>
      <c r="I36" s="276">
        <v>3253</v>
      </c>
      <c r="J36" s="409"/>
      <c r="K36" s="410">
        <f t="shared" si="0"/>
        <v>3253</v>
      </c>
      <c r="L36" s="262"/>
    </row>
    <row r="37" spans="2:14" ht="30" customHeight="1">
      <c r="B37" s="161">
        <f>B36+1</f>
        <v>30</v>
      </c>
      <c r="C37" s="262" t="s">
        <v>660</v>
      </c>
      <c r="D37" s="262"/>
      <c r="E37" s="262" t="s">
        <v>479</v>
      </c>
      <c r="F37" s="262" t="s">
        <v>487</v>
      </c>
      <c r="G37" s="262" t="e">
        <f>G36</f>
        <v>#REF!</v>
      </c>
      <c r="H37" s="408">
        <f>3068/2</f>
        <v>1534</v>
      </c>
      <c r="I37" s="276">
        <v>1596</v>
      </c>
      <c r="J37" s="409"/>
      <c r="K37" s="410">
        <f t="shared" si="0"/>
        <v>1596</v>
      </c>
      <c r="L37" s="262"/>
      <c r="M37" t="s">
        <v>661</v>
      </c>
      <c r="N37" t="s">
        <v>766</v>
      </c>
    </row>
    <row r="38" spans="2:14" ht="30" customHeight="1">
      <c r="B38" s="161">
        <f t="shared" si="3"/>
        <v>31</v>
      </c>
      <c r="C38" s="161" t="s">
        <v>512</v>
      </c>
      <c r="D38" s="161"/>
      <c r="E38" s="161" t="s">
        <v>513</v>
      </c>
      <c r="F38" s="161" t="s">
        <v>444</v>
      </c>
      <c r="G38" s="161"/>
      <c r="H38" s="349">
        <f>6240/2</f>
        <v>3120</v>
      </c>
      <c r="I38" s="276">
        <v>3245</v>
      </c>
      <c r="J38" s="274"/>
      <c r="K38" s="234">
        <f t="shared" si="0"/>
        <v>3245</v>
      </c>
      <c r="L38" s="161"/>
    </row>
    <row r="39" spans="2:14" ht="30" customHeight="1">
      <c r="B39" s="161">
        <f t="shared" si="3"/>
        <v>32</v>
      </c>
      <c r="C39" s="161" t="s">
        <v>424</v>
      </c>
      <c r="D39" s="161"/>
      <c r="E39" s="262" t="s">
        <v>488</v>
      </c>
      <c r="F39" s="161" t="s">
        <v>489</v>
      </c>
      <c r="G39" s="161">
        <f t="shared" si="2"/>
        <v>0</v>
      </c>
      <c r="H39" s="349">
        <f>3858/2</f>
        <v>1929</v>
      </c>
      <c r="I39" s="276">
        <v>2006</v>
      </c>
      <c r="J39" s="274"/>
      <c r="K39" s="234">
        <f t="shared" si="0"/>
        <v>2006</v>
      </c>
      <c r="L39" s="161"/>
    </row>
    <row r="40" spans="2:14" ht="30" customHeight="1">
      <c r="B40" s="161">
        <f>B39+1</f>
        <v>33</v>
      </c>
      <c r="C40" s="161" t="s">
        <v>597</v>
      </c>
      <c r="D40" s="161"/>
      <c r="E40" s="161" t="s">
        <v>547</v>
      </c>
      <c r="F40" s="161" t="s">
        <v>546</v>
      </c>
      <c r="G40" s="161"/>
      <c r="H40" s="350"/>
      <c r="I40" s="276">
        <v>3432</v>
      </c>
      <c r="J40" s="276"/>
      <c r="K40" s="234">
        <f t="shared" si="0"/>
        <v>3432</v>
      </c>
      <c r="L40" s="161"/>
      <c r="M40" t="s">
        <v>598</v>
      </c>
      <c r="N40" t="s">
        <v>623</v>
      </c>
    </row>
    <row r="41" spans="2:14" ht="30" customHeight="1">
      <c r="B41" s="161">
        <f t="shared" si="3"/>
        <v>34</v>
      </c>
      <c r="C41" s="161" t="s">
        <v>580</v>
      </c>
      <c r="D41" s="161"/>
      <c r="E41" s="161" t="s">
        <v>581</v>
      </c>
      <c r="F41" s="161"/>
      <c r="G41" s="161"/>
      <c r="H41" s="350"/>
      <c r="I41" s="276">
        <v>6653</v>
      </c>
      <c r="J41" s="276"/>
      <c r="K41" s="234">
        <f t="shared" si="0"/>
        <v>6653</v>
      </c>
      <c r="L41" s="161"/>
      <c r="M41" t="s">
        <v>582</v>
      </c>
      <c r="N41" t="s">
        <v>624</v>
      </c>
    </row>
    <row r="42" spans="2:14" ht="30" customHeight="1">
      <c r="B42" s="161">
        <f t="shared" si="3"/>
        <v>35</v>
      </c>
      <c r="C42" s="161" t="s">
        <v>556</v>
      </c>
      <c r="D42" s="161"/>
      <c r="E42" s="161" t="s">
        <v>557</v>
      </c>
      <c r="F42" s="161"/>
      <c r="G42" s="161"/>
      <c r="H42" s="349">
        <f>7904/2</f>
        <v>3952</v>
      </c>
      <c r="I42" s="276">
        <v>4110</v>
      </c>
      <c r="J42" s="276"/>
      <c r="K42" s="234">
        <f t="shared" si="0"/>
        <v>4110</v>
      </c>
      <c r="L42" s="161"/>
      <c r="M42" t="s">
        <v>645</v>
      </c>
      <c r="N42" t="s">
        <v>767</v>
      </c>
    </row>
    <row r="43" spans="2:14" ht="30" customHeight="1">
      <c r="B43" s="161">
        <f t="shared" si="3"/>
        <v>36</v>
      </c>
      <c r="C43" s="161" t="s">
        <v>590</v>
      </c>
      <c r="D43" s="161"/>
      <c r="E43" s="161" t="s">
        <v>589</v>
      </c>
      <c r="F43" s="161"/>
      <c r="G43" s="161"/>
      <c r="H43" s="350">
        <f>7488/2</f>
        <v>3744</v>
      </c>
      <c r="I43" s="276">
        <v>3894</v>
      </c>
      <c r="J43" s="276"/>
      <c r="K43" s="234">
        <f t="shared" ref="K43:K55" si="4">I43-J43</f>
        <v>3894</v>
      </c>
      <c r="L43" s="161"/>
      <c r="N43" t="s">
        <v>625</v>
      </c>
    </row>
    <row r="44" spans="2:14" ht="30" customHeight="1">
      <c r="B44" s="161">
        <f t="shared" si="3"/>
        <v>37</v>
      </c>
      <c r="C44" s="161" t="s">
        <v>585</v>
      </c>
      <c r="D44" s="161"/>
      <c r="E44" s="161" t="s">
        <v>239</v>
      </c>
      <c r="F44" s="161" t="s">
        <v>591</v>
      </c>
      <c r="G44" s="161"/>
      <c r="H44" s="350">
        <f>6138/2</f>
        <v>3069</v>
      </c>
      <c r="I44" s="276">
        <v>3192</v>
      </c>
      <c r="J44" s="276"/>
      <c r="K44" s="234">
        <f t="shared" si="4"/>
        <v>3192</v>
      </c>
      <c r="L44" s="161"/>
      <c r="M44" t="s">
        <v>592</v>
      </c>
      <c r="N44" t="s">
        <v>626</v>
      </c>
    </row>
    <row r="45" spans="2:14" ht="30" customHeight="1">
      <c r="B45" s="161">
        <f t="shared" si="3"/>
        <v>38</v>
      </c>
      <c r="C45" s="161" t="s">
        <v>586</v>
      </c>
      <c r="D45" s="161"/>
      <c r="E45" s="161" t="s">
        <v>587</v>
      </c>
      <c r="F45" s="161"/>
      <c r="G45" s="161"/>
      <c r="H45" s="350">
        <f>5880/2</f>
        <v>2940</v>
      </c>
      <c r="I45" s="276">
        <v>4000</v>
      </c>
      <c r="J45" s="276"/>
      <c r="K45" s="234">
        <f t="shared" si="4"/>
        <v>4000</v>
      </c>
      <c r="L45" s="161"/>
      <c r="M45" t="s">
        <v>588</v>
      </c>
      <c r="N45" t="s">
        <v>627</v>
      </c>
    </row>
    <row r="46" spans="2:14" ht="30" customHeight="1">
      <c r="B46" s="161">
        <f t="shared" si="3"/>
        <v>39</v>
      </c>
      <c r="C46" s="161" t="s">
        <v>609</v>
      </c>
      <c r="D46" s="161"/>
      <c r="E46" s="161" t="s">
        <v>581</v>
      </c>
      <c r="F46" s="161"/>
      <c r="G46" s="161"/>
      <c r="H46" s="350"/>
      <c r="I46" s="276">
        <v>6625</v>
      </c>
      <c r="J46" s="276"/>
      <c r="K46" s="234">
        <f t="shared" si="4"/>
        <v>6625</v>
      </c>
      <c r="L46" s="161"/>
      <c r="M46" t="s">
        <v>649</v>
      </c>
      <c r="N46" t="s">
        <v>768</v>
      </c>
    </row>
    <row r="47" spans="2:14" ht="30" customHeight="1">
      <c r="B47" s="161">
        <f t="shared" si="3"/>
        <v>40</v>
      </c>
      <c r="C47" s="161" t="s">
        <v>619</v>
      </c>
      <c r="D47" s="161"/>
      <c r="E47" s="161" t="s">
        <v>232</v>
      </c>
      <c r="F47" s="161"/>
      <c r="G47" s="161"/>
      <c r="H47" s="350"/>
      <c r="I47" s="276">
        <v>3744</v>
      </c>
      <c r="J47" s="276"/>
      <c r="K47" s="234">
        <f t="shared" si="4"/>
        <v>3744</v>
      </c>
      <c r="L47" s="161"/>
      <c r="M47" s="284" t="s">
        <v>648</v>
      </c>
      <c r="N47" t="s">
        <v>769</v>
      </c>
    </row>
    <row r="48" spans="2:14" ht="30" customHeight="1">
      <c r="B48" s="161">
        <f t="shared" si="3"/>
        <v>41</v>
      </c>
      <c r="C48" s="161" t="s">
        <v>632</v>
      </c>
      <c r="D48" s="161"/>
      <c r="E48" s="161" t="s">
        <v>634</v>
      </c>
      <c r="F48" s="161"/>
      <c r="G48" s="161"/>
      <c r="H48" s="350"/>
      <c r="I48" s="276">
        <v>7800</v>
      </c>
      <c r="J48" s="276"/>
      <c r="K48" s="234">
        <f t="shared" si="4"/>
        <v>7800</v>
      </c>
      <c r="L48" s="161"/>
      <c r="M48" t="s">
        <v>637</v>
      </c>
      <c r="N48" t="s">
        <v>770</v>
      </c>
    </row>
    <row r="49" spans="2:14" ht="30" customHeight="1">
      <c r="B49" s="161">
        <f t="shared" si="3"/>
        <v>42</v>
      </c>
      <c r="C49" s="161" t="s">
        <v>633</v>
      </c>
      <c r="D49" s="161"/>
      <c r="E49" s="161" t="s">
        <v>635</v>
      </c>
      <c r="F49" s="161"/>
      <c r="G49" s="161"/>
      <c r="H49" s="350"/>
      <c r="I49" s="276">
        <v>7800</v>
      </c>
      <c r="J49" s="276"/>
      <c r="K49" s="234">
        <f t="shared" si="4"/>
        <v>7800</v>
      </c>
      <c r="L49" s="161"/>
      <c r="M49" t="s">
        <v>610</v>
      </c>
      <c r="N49" t="s">
        <v>770</v>
      </c>
    </row>
    <row r="50" spans="2:14" ht="30" customHeight="1">
      <c r="B50" s="161">
        <f t="shared" si="3"/>
        <v>43</v>
      </c>
      <c r="C50" s="161" t="s">
        <v>642</v>
      </c>
      <c r="D50" s="161"/>
      <c r="E50" s="161" t="s">
        <v>643</v>
      </c>
      <c r="F50" s="161"/>
      <c r="G50" s="161"/>
      <c r="H50" s="350"/>
      <c r="I50" s="276">
        <v>3536</v>
      </c>
      <c r="J50" s="276"/>
      <c r="K50" s="234">
        <f t="shared" si="4"/>
        <v>3536</v>
      </c>
      <c r="L50" s="161"/>
      <c r="M50" t="s">
        <v>647</v>
      </c>
      <c r="N50" t="s">
        <v>769</v>
      </c>
    </row>
    <row r="51" spans="2:14" ht="30" customHeight="1">
      <c r="B51" s="161">
        <f t="shared" si="3"/>
        <v>44</v>
      </c>
      <c r="C51" s="161" t="s">
        <v>656</v>
      </c>
      <c r="D51" s="161"/>
      <c r="E51" s="161" t="s">
        <v>652</v>
      </c>
      <c r="F51" s="161"/>
      <c r="G51" s="161"/>
      <c r="H51" s="350"/>
      <c r="I51" s="276">
        <v>2080</v>
      </c>
      <c r="J51" s="276"/>
      <c r="K51" s="234">
        <f t="shared" si="4"/>
        <v>2080</v>
      </c>
      <c r="L51" s="161"/>
      <c r="M51" t="s">
        <v>653</v>
      </c>
      <c r="N51" t="s">
        <v>654</v>
      </c>
    </row>
    <row r="52" spans="2:14" ht="30" customHeight="1">
      <c r="B52" s="161">
        <f t="shared" si="3"/>
        <v>45</v>
      </c>
      <c r="C52" s="161" t="s">
        <v>659</v>
      </c>
      <c r="D52" s="161"/>
      <c r="E52" s="161" t="s">
        <v>663</v>
      </c>
      <c r="F52" s="161"/>
      <c r="G52" s="161"/>
      <c r="H52" s="350"/>
      <c r="I52" s="276">
        <v>2080</v>
      </c>
      <c r="J52" s="276"/>
      <c r="K52" s="234">
        <f t="shared" si="4"/>
        <v>2080</v>
      </c>
      <c r="L52" s="161"/>
      <c r="M52" t="s">
        <v>662</v>
      </c>
      <c r="N52" t="s">
        <v>771</v>
      </c>
    </row>
    <row r="53" spans="2:14" ht="30" customHeight="1">
      <c r="B53" s="161">
        <f t="shared" si="3"/>
        <v>46</v>
      </c>
      <c r="C53" s="161" t="s">
        <v>687</v>
      </c>
      <c r="D53" s="161"/>
      <c r="E53" s="161" t="s">
        <v>686</v>
      </c>
      <c r="F53" s="161"/>
      <c r="G53" s="161"/>
      <c r="H53" s="350"/>
      <c r="I53" s="276">
        <v>3120</v>
      </c>
      <c r="J53" s="276"/>
      <c r="K53" s="234">
        <f t="shared" si="4"/>
        <v>3120</v>
      </c>
      <c r="L53" s="161"/>
    </row>
    <row r="54" spans="2:14" ht="30" customHeight="1">
      <c r="B54" s="161">
        <v>47</v>
      </c>
      <c r="C54" s="161" t="s">
        <v>708</v>
      </c>
      <c r="D54" s="161"/>
      <c r="E54" s="161" t="s">
        <v>589</v>
      </c>
      <c r="F54" s="161"/>
      <c r="G54" s="161"/>
      <c r="H54" s="350"/>
      <c r="I54" s="276">
        <v>3744</v>
      </c>
      <c r="J54" s="276"/>
      <c r="K54" s="234">
        <f t="shared" si="4"/>
        <v>3744</v>
      </c>
      <c r="L54" s="161"/>
      <c r="M54" t="s">
        <v>709</v>
      </c>
      <c r="N54" t="s">
        <v>769</v>
      </c>
    </row>
    <row r="55" spans="2:14" ht="30" customHeight="1">
      <c r="B55" s="161">
        <v>48</v>
      </c>
      <c r="C55" s="161" t="s">
        <v>710</v>
      </c>
      <c r="D55" s="161"/>
      <c r="E55" s="161" t="s">
        <v>711</v>
      </c>
      <c r="F55" s="161"/>
      <c r="G55" s="161"/>
      <c r="H55" s="350"/>
      <c r="I55" s="276">
        <v>4160</v>
      </c>
      <c r="J55" s="276"/>
      <c r="K55" s="234">
        <f t="shared" si="4"/>
        <v>4160</v>
      </c>
      <c r="L55" s="161"/>
      <c r="M55" t="s">
        <v>714</v>
      </c>
      <c r="N55" t="s">
        <v>769</v>
      </c>
    </row>
    <row r="56" spans="2:14" ht="30" customHeight="1">
      <c r="B56" s="161">
        <v>49</v>
      </c>
      <c r="C56" s="161" t="s">
        <v>751</v>
      </c>
      <c r="D56" s="161"/>
      <c r="E56" s="161" t="s">
        <v>728</v>
      </c>
      <c r="F56" s="161"/>
      <c r="G56" s="161"/>
      <c r="H56" s="350"/>
      <c r="I56" s="276">
        <v>4326</v>
      </c>
      <c r="J56" s="276"/>
      <c r="K56" s="234">
        <f>I56-J56</f>
        <v>4326</v>
      </c>
      <c r="L56" s="161"/>
      <c r="M56" t="s">
        <v>729</v>
      </c>
      <c r="N56" t="s">
        <v>772</v>
      </c>
    </row>
    <row r="57" spans="2:14" ht="30" customHeight="1">
      <c r="B57" s="161">
        <v>50</v>
      </c>
      <c r="C57" s="161" t="s">
        <v>741</v>
      </c>
      <c r="D57" s="161"/>
      <c r="E57" s="161" t="s">
        <v>743</v>
      </c>
      <c r="F57" s="161"/>
      <c r="G57" s="161"/>
      <c r="H57" s="350"/>
      <c r="I57" s="276">
        <v>3300</v>
      </c>
      <c r="J57" s="276"/>
      <c r="K57" s="234">
        <f>I57-J57</f>
        <v>3300</v>
      </c>
      <c r="L57" s="161"/>
      <c r="M57" t="s">
        <v>742</v>
      </c>
      <c r="N57" t="s">
        <v>773</v>
      </c>
    </row>
    <row r="58" spans="2:14" ht="30" customHeight="1">
      <c r="B58" s="161">
        <v>51</v>
      </c>
      <c r="C58" s="161" t="s">
        <v>747</v>
      </c>
      <c r="D58" s="161"/>
      <c r="E58" s="161" t="s">
        <v>748</v>
      </c>
      <c r="F58" s="161"/>
      <c r="G58" s="161"/>
      <c r="H58" s="350"/>
      <c r="I58" s="276">
        <v>3300</v>
      </c>
      <c r="J58" s="276"/>
      <c r="K58" s="234">
        <f>I58-J58</f>
        <v>3300</v>
      </c>
      <c r="L58" s="161"/>
      <c r="M58" t="s">
        <v>746</v>
      </c>
      <c r="N58" s="617">
        <v>3300</v>
      </c>
    </row>
    <row r="59" spans="2:14" ht="30" customHeight="1">
      <c r="B59" s="161">
        <v>52</v>
      </c>
      <c r="C59" s="161" t="s">
        <v>753</v>
      </c>
      <c r="D59" s="161"/>
      <c r="E59" s="161" t="s">
        <v>754</v>
      </c>
      <c r="F59" s="161"/>
      <c r="G59" s="161"/>
      <c r="H59" s="350"/>
      <c r="I59" s="276">
        <v>3818</v>
      </c>
      <c r="J59" s="276"/>
      <c r="K59" s="234">
        <f>I59</f>
        <v>3818</v>
      </c>
      <c r="L59" s="161"/>
      <c r="M59" t="s">
        <v>749</v>
      </c>
      <c r="N59" s="617"/>
    </row>
    <row r="60" spans="2:14" ht="30" customHeight="1">
      <c r="B60" s="161">
        <v>53</v>
      </c>
      <c r="C60" s="161" t="s">
        <v>750</v>
      </c>
      <c r="D60" s="161"/>
      <c r="E60" s="161" t="s">
        <v>752</v>
      </c>
      <c r="F60" s="161"/>
      <c r="G60" s="161"/>
      <c r="H60" s="350"/>
      <c r="I60" s="276">
        <v>4160</v>
      </c>
      <c r="J60" s="276"/>
      <c r="K60" s="234">
        <f>I60</f>
        <v>4160</v>
      </c>
      <c r="L60" s="161"/>
      <c r="M60" s="625" t="s">
        <v>786</v>
      </c>
      <c r="N60" s="617"/>
    </row>
    <row r="61" spans="2:14" ht="30" customHeight="1">
      <c r="B61" s="638">
        <v>54</v>
      </c>
      <c r="C61" s="638" t="s">
        <v>813</v>
      </c>
      <c r="D61" s="638"/>
      <c r="E61" s="638" t="s">
        <v>814</v>
      </c>
      <c r="F61" s="638"/>
      <c r="G61" s="638"/>
      <c r="H61" s="639"/>
      <c r="I61" s="640">
        <v>933.3</v>
      </c>
      <c r="J61" s="640"/>
      <c r="K61" s="641">
        <f>I61</f>
        <v>933.3</v>
      </c>
      <c r="L61" s="638"/>
      <c r="M61" s="642" t="s">
        <v>815</v>
      </c>
      <c r="N61" s="617"/>
    </row>
    <row r="62" spans="2:14" ht="30" customHeight="1">
      <c r="B62" s="638">
        <v>55</v>
      </c>
      <c r="C62" s="638" t="s">
        <v>819</v>
      </c>
      <c r="D62" s="638"/>
      <c r="E62" s="638" t="s">
        <v>821</v>
      </c>
      <c r="F62" s="638"/>
      <c r="G62" s="638"/>
      <c r="H62" s="639"/>
      <c r="I62" s="640">
        <v>7500</v>
      </c>
      <c r="J62" s="640"/>
      <c r="K62" s="641">
        <v>7500</v>
      </c>
      <c r="L62" s="638"/>
      <c r="M62" s="642" t="s">
        <v>820</v>
      </c>
      <c r="N62" s="617"/>
    </row>
    <row r="63" spans="2:14" ht="30" customHeight="1">
      <c r="F63" s="610" t="s">
        <v>52</v>
      </c>
      <c r="G63" s="611" t="s">
        <v>52</v>
      </c>
      <c r="H63" s="612"/>
      <c r="I63" s="613">
        <f>SUM(I9:I62)</f>
        <v>191259.3</v>
      </c>
      <c r="J63" s="613">
        <f>SUM(J9:J53)</f>
        <v>0</v>
      </c>
      <c r="K63" s="614">
        <f>SUM(K9:K62)</f>
        <v>191259.3</v>
      </c>
    </row>
    <row r="64" spans="2:14" ht="17.25" customHeight="1">
      <c r="H64" s="351"/>
      <c r="I64" s="277"/>
      <c r="J64" s="277"/>
      <c r="K64" s="235"/>
    </row>
    <row r="65" spans="2:14" ht="30" customHeight="1">
      <c r="B65" s="161">
        <v>56</v>
      </c>
      <c r="C65" s="161" t="s">
        <v>490</v>
      </c>
      <c r="D65" s="161"/>
      <c r="E65" s="161" t="s">
        <v>491</v>
      </c>
      <c r="F65" s="161" t="s">
        <v>492</v>
      </c>
      <c r="G65" s="161" t="e">
        <f>G11</f>
        <v>#REF!</v>
      </c>
      <c r="H65" s="349">
        <f>2206/2</f>
        <v>1103</v>
      </c>
      <c r="I65" s="276">
        <v>1147</v>
      </c>
      <c r="J65" s="274"/>
      <c r="K65" s="234">
        <f>I65-J65</f>
        <v>1147</v>
      </c>
      <c r="L65" s="161"/>
    </row>
    <row r="66" spans="2:14" ht="30" customHeight="1">
      <c r="B66" s="161">
        <v>57</v>
      </c>
      <c r="C66" s="161" t="s">
        <v>551</v>
      </c>
      <c r="D66" s="161" t="s">
        <v>493</v>
      </c>
      <c r="E66" s="161" t="s">
        <v>494</v>
      </c>
      <c r="F66" s="161" t="s">
        <v>444</v>
      </c>
      <c r="G66" s="161" t="e">
        <f>G15</f>
        <v>#REF!</v>
      </c>
      <c r="H66" s="349">
        <f>2310/2</f>
        <v>1155</v>
      </c>
      <c r="I66" s="276">
        <v>1201</v>
      </c>
      <c r="J66" s="274"/>
      <c r="K66" s="234">
        <f t="shared" ref="K66:K69" si="5">I66-J66</f>
        <v>1201</v>
      </c>
      <c r="L66" s="161"/>
    </row>
    <row r="67" spans="2:14" ht="30" customHeight="1">
      <c r="B67" s="161">
        <v>58</v>
      </c>
      <c r="C67" s="161" t="s">
        <v>594</v>
      </c>
      <c r="D67" s="161" t="s">
        <v>495</v>
      </c>
      <c r="E67" s="161" t="s">
        <v>494</v>
      </c>
      <c r="F67" s="161" t="s">
        <v>444</v>
      </c>
      <c r="G67" s="161" t="e">
        <f>G66</f>
        <v>#REF!</v>
      </c>
      <c r="H67" s="349">
        <f>2310/2</f>
        <v>1155</v>
      </c>
      <c r="I67" s="276">
        <v>1201</v>
      </c>
      <c r="J67" s="274"/>
      <c r="K67" s="234">
        <f t="shared" si="5"/>
        <v>1201</v>
      </c>
      <c r="L67" s="161"/>
      <c r="M67" t="s">
        <v>593</v>
      </c>
      <c r="N67" t="s">
        <v>629</v>
      </c>
    </row>
    <row r="68" spans="2:14" ht="30" customHeight="1">
      <c r="B68" s="161">
        <v>59</v>
      </c>
      <c r="C68" s="161" t="s">
        <v>496</v>
      </c>
      <c r="D68" s="161" t="s">
        <v>497</v>
      </c>
      <c r="E68" s="161" t="s">
        <v>498</v>
      </c>
      <c r="F68" s="161"/>
      <c r="G68" s="161" t="e">
        <f>#REF!</f>
        <v>#REF!</v>
      </c>
      <c r="H68" s="349">
        <f>2100/2</f>
        <v>1050</v>
      </c>
      <c r="I68" s="276">
        <v>1092</v>
      </c>
      <c r="J68" s="274"/>
      <c r="K68" s="234">
        <f t="shared" si="5"/>
        <v>1092</v>
      </c>
      <c r="L68" s="161"/>
    </row>
    <row r="69" spans="2:14" ht="30" customHeight="1">
      <c r="B69" s="161">
        <v>60</v>
      </c>
      <c r="C69" s="161" t="s">
        <v>425</v>
      </c>
      <c r="D69" s="161" t="s">
        <v>499</v>
      </c>
      <c r="E69" s="161" t="s">
        <v>500</v>
      </c>
      <c r="F69" s="161" t="s">
        <v>487</v>
      </c>
      <c r="G69" s="161" t="e">
        <f>#REF!</f>
        <v>#REF!</v>
      </c>
      <c r="H69" s="349">
        <f>2142/2</f>
        <v>1071</v>
      </c>
      <c r="I69" s="276">
        <v>1114</v>
      </c>
      <c r="J69" s="274"/>
      <c r="K69" s="234">
        <f t="shared" si="5"/>
        <v>1114</v>
      </c>
      <c r="L69" s="161"/>
    </row>
    <row r="70" spans="2:14" ht="30" customHeight="1">
      <c r="F70" s="588" t="s">
        <v>501</v>
      </c>
      <c r="G70" s="589" t="s">
        <v>52</v>
      </c>
      <c r="H70" s="590"/>
      <c r="I70" s="591">
        <f>SUM(I65:I69)</f>
        <v>5755</v>
      </c>
      <c r="J70" s="591">
        <f>SUM(J65:J69)</f>
        <v>0</v>
      </c>
      <c r="K70" s="592">
        <f>SUM(K65:K69)</f>
        <v>5755</v>
      </c>
    </row>
    <row r="71" spans="2:14" ht="13.5" customHeight="1" thickBot="1">
      <c r="B71" s="224"/>
      <c r="C71" s="224"/>
      <c r="D71" s="224"/>
      <c r="E71" s="224"/>
      <c r="F71" s="236"/>
      <c r="G71" s="236"/>
      <c r="H71" s="352"/>
      <c r="I71" s="278"/>
      <c r="J71" s="278"/>
      <c r="K71" s="237"/>
      <c r="L71" s="224"/>
    </row>
    <row r="72" spans="2:14" ht="25.5" customHeight="1" thickTop="1">
      <c r="F72" s="583" t="s">
        <v>52</v>
      </c>
      <c r="G72" s="584" t="s">
        <v>52</v>
      </c>
      <c r="H72" s="585"/>
      <c r="I72" s="586">
        <f>I63+I70</f>
        <v>197014.3</v>
      </c>
      <c r="J72" s="587">
        <f>SUM(J63+J70)</f>
        <v>0</v>
      </c>
      <c r="K72" s="510">
        <f>SUM(K63+K70)</f>
        <v>197014.3</v>
      </c>
    </row>
    <row r="73" spans="2:14">
      <c r="H73" s="351"/>
      <c r="I73" s="277"/>
      <c r="J73" s="277"/>
      <c r="K73" s="235"/>
    </row>
    <row r="74" spans="2:14">
      <c r="H74" s="351"/>
      <c r="I74" s="277"/>
      <c r="J74" s="277"/>
      <c r="K74" s="235"/>
    </row>
    <row r="75" spans="2:14">
      <c r="C75" s="203"/>
      <c r="H75" s="351"/>
      <c r="I75" s="277"/>
      <c r="J75" s="277"/>
      <c r="K75" s="235"/>
    </row>
    <row r="76" spans="2:14">
      <c r="H76" s="351"/>
      <c r="I76" s="277"/>
      <c r="J76" s="277"/>
      <c r="K76" s="235"/>
    </row>
    <row r="77" spans="2:14">
      <c r="H77" s="351"/>
      <c r="I77" s="277"/>
      <c r="J77" s="277"/>
      <c r="K77" s="235"/>
    </row>
    <row r="80" spans="2:14">
      <c r="K80" s="229">
        <f>I72-J72</f>
        <v>197014.3</v>
      </c>
    </row>
    <row r="81" spans="11:11">
      <c r="K81" s="229">
        <f>K72-K80</f>
        <v>0</v>
      </c>
    </row>
  </sheetData>
  <mergeCells count="3">
    <mergeCell ref="C2:L2"/>
    <mergeCell ref="C3:L3"/>
    <mergeCell ref="D5:J5"/>
  </mergeCells>
  <pageMargins left="0.82677165354330717" right="0.23622047244094491" top="0.74803149606299213" bottom="0.74803149606299213" header="0.31496062992125984" footer="0.31496062992125984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11</vt:i4>
      </vt:variant>
    </vt:vector>
  </HeadingPairs>
  <TitlesOfParts>
    <vt:vector size="23" baseType="lpstr">
      <vt:lpstr>REGIDORES</vt:lpstr>
      <vt:lpstr>BASE</vt:lpstr>
      <vt:lpstr>SEGU-PBCA</vt:lpstr>
      <vt:lpstr>P-CIVIL</vt:lpstr>
      <vt:lpstr>NOMINA TRAB.EVENTUALES</vt:lpstr>
      <vt:lpstr>PAGO SEMANAL</vt:lpstr>
      <vt:lpstr>PENSION POR JUBILACION</vt:lpstr>
      <vt:lpstr>NOMINA PENSIONADOS</vt:lpstr>
      <vt:lpstr>NOMINA ORD. DE PAGO QUINCENAL</vt:lpstr>
      <vt:lpstr>PAGO TRAB.MENSUALES</vt:lpstr>
      <vt:lpstr>CASA DE CULTURA </vt:lpstr>
      <vt:lpstr>TOTAL DE PAGOS 2DAQUIN.OCTUBRE</vt:lpstr>
      <vt:lpstr>BASE!Área_de_impresión</vt:lpstr>
      <vt:lpstr>'CASA DE CULTURA '!Área_de_impresión</vt:lpstr>
      <vt:lpstr>'NOMINA ORD. DE PAGO QUINCENAL'!Área_de_impresión</vt:lpstr>
      <vt:lpstr>'NOMINA PENSIONADOS'!Área_de_impresión</vt:lpstr>
      <vt:lpstr>'NOMINA TRAB.EVENTUALES'!Área_de_impresión</vt:lpstr>
      <vt:lpstr>'PAGO TRAB.MENSUALES'!Área_de_impresión</vt:lpstr>
      <vt:lpstr>'P-CIVIL'!Área_de_impresión</vt:lpstr>
      <vt:lpstr>'PENSION POR JUBILACION'!Área_de_impresión</vt:lpstr>
      <vt:lpstr>REGIDORES!Área_de_impresión</vt:lpstr>
      <vt:lpstr>'SEGU-PBCA'!Área_de_impresión</vt:lpstr>
      <vt:lpstr>'TOTAL DE PAGOS 2DAQUIN.OCTUBRE'!Área_de_impresión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Ilse</dc:creator>
  <cp:lastModifiedBy>HP</cp:lastModifiedBy>
  <cp:lastPrinted>2021-07-16T14:20:36Z</cp:lastPrinted>
  <dcterms:created xsi:type="dcterms:W3CDTF">2018-09-24T18:29:12Z</dcterms:created>
  <dcterms:modified xsi:type="dcterms:W3CDTF">2023-08-09T20:15:08Z</dcterms:modified>
</cp:coreProperties>
</file>