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Mayo 2021\"/>
    </mc:Choice>
  </mc:AlternateContent>
  <xr:revisionPtr revIDLastSave="0" documentId="13_ncr:1_{439EC52B-5518-4F62-8250-5F3E1318D155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BASE!$B$2:$N$193</definedName>
    <definedName name="_xlnm.Print_Area" localSheetId="10">'CASA DE CULTURA '!$B$1:$O$16</definedName>
    <definedName name="_xlnm.Print_Area" localSheetId="8">'NOMINA ORD. DE PAGO QUINCENAL'!$B$1:$L$77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TRAB.MENSUALES'!$B$1:$K$41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4" l="1"/>
  <c r="K59" i="14"/>
  <c r="L11" i="15" l="1"/>
  <c r="L23" i="2"/>
  <c r="L24" i="2" s="1"/>
  <c r="H23" i="2"/>
  <c r="M44" i="2"/>
  <c r="L44" i="2"/>
  <c r="H44" i="2"/>
  <c r="K24" i="2"/>
  <c r="F24" i="2"/>
  <c r="M23" i="2" l="1"/>
  <c r="J20" i="8" l="1"/>
  <c r="J33" i="8" l="1"/>
  <c r="J31" i="8"/>
  <c r="J28" i="8"/>
  <c r="K18" i="5" l="1"/>
  <c r="J18" i="5"/>
  <c r="G18" i="5"/>
  <c r="L18" i="5"/>
  <c r="J10" i="16"/>
  <c r="J16" i="16" s="1"/>
  <c r="J14" i="16"/>
  <c r="K14" i="11"/>
  <c r="I67" i="14"/>
  <c r="I69" i="14" s="1"/>
  <c r="L8" i="5" l="1"/>
  <c r="K8" i="5"/>
  <c r="F34" i="2"/>
  <c r="K34" i="2"/>
  <c r="L32" i="2"/>
  <c r="H32" i="2"/>
  <c r="E32" i="2"/>
  <c r="M32" i="2" l="1"/>
  <c r="K58" i="14"/>
  <c r="J9" i="2" l="1"/>
  <c r="J158" i="2"/>
  <c r="H11" i="15" l="1"/>
  <c r="J11" i="15"/>
  <c r="K11" i="15"/>
  <c r="O15" i="6" l="1"/>
  <c r="P15" i="6" s="1"/>
  <c r="O16" i="6"/>
  <c r="O17" i="6"/>
  <c r="K9" i="2" l="1"/>
  <c r="F9" i="2"/>
  <c r="K168" i="2" l="1"/>
  <c r="F168" i="2"/>
  <c r="F18" i="5"/>
  <c r="J48" i="2" l="1"/>
  <c r="L43" i="2"/>
  <c r="E8" i="2" l="1"/>
  <c r="H8" i="2"/>
  <c r="L8" i="2"/>
  <c r="H33" i="2"/>
  <c r="H34" i="2" s="1"/>
  <c r="M8" i="2" l="1"/>
  <c r="N28" i="4"/>
  <c r="O27" i="4"/>
  <c r="L27" i="4"/>
  <c r="P27" i="4" s="1"/>
  <c r="O26" i="4"/>
  <c r="L26" i="4"/>
  <c r="P26" i="4" l="1"/>
  <c r="K56" i="14" l="1"/>
  <c r="K55" i="14"/>
  <c r="L121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4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2" i="6"/>
  <c r="O28" i="4" l="1"/>
  <c r="B13" i="6"/>
  <c r="B14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K37" i="6" l="1"/>
  <c r="P37" i="6" s="1"/>
  <c r="M39" i="6" l="1"/>
  <c r="N39" i="6"/>
  <c r="K36" i="6"/>
  <c r="P36" i="6" s="1"/>
  <c r="K35" i="6"/>
  <c r="P35" i="6" s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2" i="14" l="1"/>
  <c r="B23" i="14" s="1"/>
  <c r="B24" i="14" s="1"/>
  <c r="B25" i="14" s="1"/>
  <c r="B26" i="14" s="1"/>
  <c r="B27" i="14" s="1"/>
  <c r="B28" i="14" s="1"/>
  <c r="B29" i="14" s="1"/>
  <c r="L25" i="4"/>
  <c r="P25" i="4" s="1"/>
  <c r="B30" i="14" l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G14" i="1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4" i="6"/>
  <c r="P34" i="6" s="1"/>
  <c r="K38" i="6"/>
  <c r="P38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60" i="14" l="1"/>
  <c r="K54" i="14"/>
  <c r="J13" i="16" l="1"/>
  <c r="N13" i="16" l="1"/>
  <c r="L179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4" i="16"/>
  <c r="G10" i="16"/>
  <c r="G16" i="16" s="1"/>
  <c r="R28" i="16"/>
  <c r="H16" i="16"/>
  <c r="E16" i="16"/>
  <c r="I12" i="16"/>
  <c r="I14" i="16" s="1"/>
  <c r="I9" i="16"/>
  <c r="J9" i="16"/>
  <c r="I8" i="16"/>
  <c r="L135" i="2"/>
  <c r="L62" i="2"/>
  <c r="L53" i="2"/>
  <c r="I10" i="16" l="1"/>
  <c r="I16" i="16" s="1"/>
  <c r="J23" i="16"/>
  <c r="J8" i="16"/>
  <c r="J24" i="16" l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N7" i="15" l="1"/>
  <c r="N11" i="15" s="1"/>
  <c r="L19" i="15" l="1"/>
  <c r="N18" i="15"/>
  <c r="L24" i="13" l="1"/>
  <c r="B15" i="13"/>
  <c r="B10" i="13"/>
  <c r="B11" i="13"/>
  <c r="C17" i="13"/>
  <c r="B17" i="13" s="1"/>
  <c r="K15" i="14" l="1"/>
  <c r="K53" i="14" l="1"/>
  <c r="K52" i="14" l="1"/>
  <c r="C14" i="13" l="1"/>
  <c r="B14" i="13" s="1"/>
  <c r="K51" i="14"/>
  <c r="K50" i="14" l="1"/>
  <c r="K49" i="14"/>
  <c r="K48" i="14" l="1"/>
  <c r="K47" i="14" l="1"/>
  <c r="J15" i="3" l="1"/>
  <c r="H46" i="14"/>
  <c r="J22" i="3"/>
  <c r="E151" i="2"/>
  <c r="E121" i="2"/>
  <c r="K12" i="11" l="1"/>
  <c r="K13" i="11"/>
  <c r="K10" i="11"/>
  <c r="E46" i="2"/>
  <c r="G24" i="6" l="1"/>
  <c r="H66" i="14" l="1"/>
  <c r="H65" i="14"/>
  <c r="H64" i="14"/>
  <c r="H63" i="14"/>
  <c r="H62" i="14"/>
  <c r="H45" i="14"/>
  <c r="H44" i="14"/>
  <c r="H43" i="14"/>
  <c r="H40" i="14"/>
  <c r="H39" i="14"/>
  <c r="H38" i="14"/>
  <c r="H37" i="14"/>
  <c r="H36" i="14"/>
  <c r="H35" i="14"/>
  <c r="H34" i="14"/>
  <c r="H33" i="14"/>
  <c r="H32" i="14"/>
  <c r="H31" i="14"/>
  <c r="H30" i="14"/>
  <c r="H57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R35" i="3" s="1"/>
  <c r="J11" i="3"/>
  <c r="H22" i="4"/>
  <c r="H21" i="4"/>
  <c r="H14" i="4"/>
  <c r="H15" i="4"/>
  <c r="H16" i="4"/>
  <c r="H17" i="4"/>
  <c r="H18" i="4"/>
  <c r="H19" i="4"/>
  <c r="H20" i="4"/>
  <c r="H12" i="4"/>
  <c r="G38" i="6"/>
  <c r="G27" i="6"/>
  <c r="G26" i="6"/>
  <c r="G23" i="6"/>
  <c r="G22" i="6"/>
  <c r="G21" i="6"/>
  <c r="G20" i="6"/>
  <c r="G19" i="6"/>
  <c r="G18" i="6"/>
  <c r="G17" i="6"/>
  <c r="G16" i="6"/>
  <c r="G14" i="6"/>
  <c r="G13" i="6"/>
  <c r="G12" i="6"/>
  <c r="E17" i="2"/>
  <c r="E13" i="2"/>
  <c r="E12" i="2"/>
  <c r="E7" i="2"/>
  <c r="E184" i="2"/>
  <c r="J28" i="4" l="1"/>
  <c r="H179" i="2"/>
  <c r="M179" i="2" s="1"/>
  <c r="E179" i="2"/>
  <c r="E173" i="2"/>
  <c r="H173" i="2" s="1"/>
  <c r="E166" i="2"/>
  <c r="H166" i="2" s="1"/>
  <c r="H168" i="2" s="1"/>
  <c r="H157" i="2"/>
  <c r="E157" i="2"/>
  <c r="E152" i="2"/>
  <c r="H152" i="2" s="1"/>
  <c r="H151" i="2"/>
  <c r="E139" i="2"/>
  <c r="E138" i="2"/>
  <c r="E137" i="2"/>
  <c r="E136" i="2"/>
  <c r="E135" i="2"/>
  <c r="E134" i="2"/>
  <c r="E133" i="2"/>
  <c r="H133" i="2" s="1"/>
  <c r="H121" i="2"/>
  <c r="E120" i="2"/>
  <c r="E115" i="2"/>
  <c r="H115" i="2" s="1"/>
  <c r="H114" i="2" l="1"/>
  <c r="E114" i="2"/>
  <c r="E113" i="2" l="1"/>
  <c r="E112" i="2"/>
  <c r="H112" i="2" s="1"/>
  <c r="E111" i="2"/>
  <c r="H111" i="2" s="1"/>
  <c r="E102" i="2"/>
  <c r="H102" i="2" s="1"/>
  <c r="E92" i="2"/>
  <c r="H92" i="2" s="1"/>
  <c r="H91" i="2"/>
  <c r="E91" i="2"/>
  <c r="E90" i="2"/>
  <c r="H90" i="2" s="1"/>
  <c r="E89" i="2"/>
  <c r="H89" i="2" s="1"/>
  <c r="E88" i="2"/>
  <c r="H88" i="2" s="1"/>
  <c r="E87" i="2"/>
  <c r="H87" i="2" s="1"/>
  <c r="E86" i="2"/>
  <c r="H86" i="2" s="1"/>
  <c r="E75" i="2"/>
  <c r="H75" i="2" s="1"/>
  <c r="L70" i="2"/>
  <c r="E70" i="2"/>
  <c r="H70" i="2" s="1"/>
  <c r="E69" i="2"/>
  <c r="H69" i="2" s="1"/>
  <c r="E97" i="2"/>
  <c r="H97" i="2" s="1"/>
  <c r="H46" i="2"/>
  <c r="E68" i="2"/>
  <c r="H68" i="2" s="1"/>
  <c r="E63" i="2"/>
  <c r="H63" i="2" s="1"/>
  <c r="E62" i="2"/>
  <c r="H62" i="2" s="1"/>
  <c r="M62" i="2" s="1"/>
  <c r="K54" i="2"/>
  <c r="E53" i="2"/>
  <c r="H53" i="2" s="1"/>
  <c r="M53" i="2" s="1"/>
  <c r="E52" i="2"/>
  <c r="H52" i="2" s="1"/>
  <c r="E47" i="2"/>
  <c r="H47" i="2" s="1"/>
  <c r="E45" i="2"/>
  <c r="H45" i="2" s="1"/>
  <c r="E43" i="2"/>
  <c r="H43" i="2" s="1"/>
  <c r="M43" i="2" s="1"/>
  <c r="E38" i="2"/>
  <c r="H38" i="2" s="1"/>
  <c r="E37" i="2"/>
  <c r="H37" i="2" s="1"/>
  <c r="E33" i="2"/>
  <c r="E22" i="2"/>
  <c r="H22" i="2" s="1"/>
  <c r="H24" i="2" s="1"/>
  <c r="H17" i="2"/>
  <c r="H13" i="2"/>
  <c r="H12" i="2"/>
  <c r="M70" i="2" l="1"/>
  <c r="H7" i="2"/>
  <c r="H9" i="2" s="1"/>
  <c r="K57" i="14" l="1"/>
  <c r="K45" i="14" l="1"/>
  <c r="K44" i="14" l="1"/>
  <c r="K46" i="14" l="1"/>
  <c r="J122" i="2" l="1"/>
  <c r="H17" i="13" l="1"/>
  <c r="H18" i="13" s="1"/>
  <c r="O35" i="3" l="1"/>
  <c r="J67" i="14" l="1"/>
  <c r="J69" i="14" s="1"/>
  <c r="K122" i="2" l="1"/>
  <c r="F122" i="2"/>
  <c r="H120" i="2"/>
  <c r="L120" i="2"/>
  <c r="H122" i="2" l="1"/>
  <c r="M120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9" i="14"/>
  <c r="K60" i="14" s="1"/>
  <c r="C13" i="13"/>
  <c r="B13" i="13" s="1"/>
  <c r="K67" i="14" l="1"/>
  <c r="K69" i="14" s="1"/>
  <c r="K78" i="14"/>
  <c r="K79" i="14" l="1"/>
  <c r="U35" i="3"/>
  <c r="H48" i="2" l="1"/>
  <c r="K48" i="2"/>
  <c r="G185" i="2" l="1"/>
  <c r="J185" i="2"/>
  <c r="G180" i="2"/>
  <c r="K93" i="2" l="1"/>
  <c r="L92" i="2"/>
  <c r="M92" i="2" s="1"/>
  <c r="H93" i="2"/>
  <c r="G93" i="2"/>
  <c r="F93" i="2"/>
  <c r="L46" i="2" l="1"/>
  <c r="M46" i="2" s="1"/>
  <c r="H113" i="2" l="1"/>
  <c r="L9" i="5" l="1"/>
  <c r="L10" i="5"/>
  <c r="L11" i="5"/>
  <c r="L12" i="5"/>
  <c r="L13" i="5"/>
  <c r="L14" i="5"/>
  <c r="L15" i="5"/>
  <c r="L17" i="5"/>
  <c r="I18" i="5"/>
  <c r="J14" i="2" l="1"/>
  <c r="J18" i="2"/>
  <c r="J24" i="2"/>
  <c r="J34" i="2"/>
  <c r="J39" i="2"/>
  <c r="J54" i="2"/>
  <c r="J64" i="2"/>
  <c r="J71" i="2"/>
  <c r="J76" i="2"/>
  <c r="J93" i="2"/>
  <c r="J98" i="2"/>
  <c r="J103" i="2"/>
  <c r="J116" i="2"/>
  <c r="J140" i="2"/>
  <c r="J153" i="2"/>
  <c r="J168" i="2"/>
  <c r="J174" i="2"/>
  <c r="J180" i="2"/>
  <c r="J188" i="2" l="1"/>
  <c r="H184" i="2"/>
  <c r="H185" i="2" s="1"/>
  <c r="F185" i="2"/>
  <c r="K185" i="2"/>
  <c r="L184" i="2"/>
  <c r="L185" i="2" l="1"/>
  <c r="M184" i="2"/>
  <c r="M185" i="2" s="1"/>
  <c r="O185" i="2" s="1"/>
  <c r="I39" i="6"/>
  <c r="L39" i="6"/>
  <c r="E13" i="13" l="1"/>
  <c r="F14" i="13"/>
  <c r="K64" i="2" l="1"/>
  <c r="K71" i="2"/>
  <c r="K174" i="2"/>
  <c r="K180" i="2"/>
  <c r="K35" i="3" l="1"/>
  <c r="M35" i="3"/>
  <c r="C12" i="13" s="1"/>
  <c r="B12" i="13" s="1"/>
  <c r="P35" i="3"/>
  <c r="D18" i="5" l="1"/>
  <c r="P2" i="2" l="1"/>
  <c r="P3" i="2"/>
  <c r="P4" i="2"/>
  <c r="K158" i="2"/>
  <c r="K153" i="2"/>
  <c r="K140" i="2"/>
  <c r="K116" i="2"/>
  <c r="K103" i="2"/>
  <c r="K98" i="2"/>
  <c r="K76" i="2"/>
  <c r="H71" i="2"/>
  <c r="K39" i="2"/>
  <c r="K18" i="2"/>
  <c r="K14" i="2"/>
  <c r="I180" i="2"/>
  <c r="L180" i="2"/>
  <c r="F14" i="2"/>
  <c r="H14" i="2"/>
  <c r="I14" i="2"/>
  <c r="K12" i="6"/>
  <c r="P12" i="6" s="1"/>
  <c r="Q17" i="3"/>
  <c r="R17" i="3" s="1"/>
  <c r="L45" i="2"/>
  <c r="M45" i="2" s="1"/>
  <c r="K188" i="2" l="1"/>
  <c r="C8" i="13"/>
  <c r="B8" i="13" s="1"/>
  <c r="L27" i="5"/>
  <c r="L28" i="5" s="1"/>
  <c r="H180" i="2"/>
  <c r="O180" i="2" s="1"/>
  <c r="H174" i="2"/>
  <c r="H158" i="2"/>
  <c r="H153" i="2"/>
  <c r="H116" i="2"/>
  <c r="H103" i="2"/>
  <c r="H98" i="2"/>
  <c r="H76" i="2"/>
  <c r="H64" i="2"/>
  <c r="H54" i="2"/>
  <c r="H39" i="2"/>
  <c r="H18" i="2"/>
  <c r="F180" i="2" l="1"/>
  <c r="F48" i="2"/>
  <c r="F18" i="2"/>
  <c r="F64" i="2" l="1"/>
  <c r="M180" i="2"/>
  <c r="P180" i="2" l="1"/>
  <c r="E8" i="13"/>
  <c r="M28" i="4"/>
  <c r="U18" i="6" l="1"/>
  <c r="V18" i="6" s="1"/>
  <c r="U21" i="6"/>
  <c r="V21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57" i="14" s="1"/>
  <c r="G30" i="14" l="1"/>
  <c r="G32" i="14" s="1"/>
  <c r="G65" i="14" s="1"/>
  <c r="G33" i="14" s="1"/>
  <c r="G34" i="14" s="1"/>
  <c r="G35" i="14" s="1"/>
  <c r="G36" i="14" s="1"/>
  <c r="G37" i="14" s="1"/>
  <c r="G38" i="14" s="1"/>
  <c r="G40" i="14" s="1"/>
  <c r="F17" i="13"/>
  <c r="F18" i="13" s="1"/>
  <c r="G66" i="14" l="1"/>
  <c r="I168" i="2" l="1"/>
  <c r="G168" i="2"/>
  <c r="A73" i="13" l="1"/>
  <c r="L166" i="2" l="1"/>
  <c r="L168" i="2" s="1"/>
  <c r="L173" i="2"/>
  <c r="F174" i="2"/>
  <c r="G174" i="2"/>
  <c r="I174" i="2"/>
  <c r="O168" i="2" l="1"/>
  <c r="M166" i="2"/>
  <c r="M168" i="2" s="1"/>
  <c r="L174" i="2"/>
  <c r="O174" i="2" s="1"/>
  <c r="M173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4" i="2"/>
  <c r="P168" i="2"/>
  <c r="J14" i="11"/>
  <c r="P174" i="2" l="1"/>
  <c r="K22" i="11"/>
  <c r="C11" i="9"/>
  <c r="G15" i="13" l="1"/>
  <c r="G18" i="13" l="1"/>
  <c r="S30" i="5" l="1"/>
  <c r="J39" i="6" l="1"/>
  <c r="K16" i="6" l="1"/>
  <c r="P16" i="6" s="1"/>
  <c r="K14" i="6"/>
  <c r="P14" i="6" s="1"/>
  <c r="K13" i="6"/>
  <c r="P13" i="6" s="1"/>
  <c r="H18" i="5"/>
  <c r="K17" i="5"/>
  <c r="K15" i="5"/>
  <c r="K14" i="5"/>
  <c r="K13" i="5"/>
  <c r="K12" i="5"/>
  <c r="K11" i="5"/>
  <c r="K10" i="5"/>
  <c r="K9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2" i="2"/>
  <c r="M112" i="2" s="1"/>
  <c r="L113" i="2"/>
  <c r="M113" i="2" s="1"/>
  <c r="L114" i="2"/>
  <c r="M114" i="2" s="1"/>
  <c r="L115" i="2"/>
  <c r="M115" i="2" s="1"/>
  <c r="L111" i="2"/>
  <c r="L69" i="2"/>
  <c r="M69" i="2" s="1"/>
  <c r="L68" i="2"/>
  <c r="M68" i="2" s="1"/>
  <c r="L63" i="2"/>
  <c r="M63" i="2" s="1"/>
  <c r="L52" i="2"/>
  <c r="M52" i="2" s="1"/>
  <c r="P12" i="4" l="1"/>
  <c r="P28" i="4" s="1"/>
  <c r="O39" i="6"/>
  <c r="M121" i="2"/>
  <c r="M122" i="2" s="1"/>
  <c r="L122" i="2"/>
  <c r="Q35" i="3"/>
  <c r="R44" i="3" s="1"/>
  <c r="L64" i="2"/>
  <c r="M64" i="2"/>
  <c r="L116" i="2"/>
  <c r="M111" i="2"/>
  <c r="L71" i="2"/>
  <c r="K39" i="6"/>
  <c r="M54" i="2"/>
  <c r="G140" i="2"/>
  <c r="F140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7" i="2"/>
  <c r="M87" i="2" s="1"/>
  <c r="L88" i="2"/>
  <c r="M88" i="2" s="1"/>
  <c r="L89" i="2"/>
  <c r="M89" i="2" s="1"/>
  <c r="L90" i="2"/>
  <c r="M90" i="2" s="1"/>
  <c r="L91" i="2"/>
  <c r="M91" i="2" s="1"/>
  <c r="L86" i="2"/>
  <c r="I93" i="2"/>
  <c r="L75" i="2"/>
  <c r="G76" i="2"/>
  <c r="I76" i="2"/>
  <c r="F76" i="2"/>
  <c r="G71" i="2"/>
  <c r="I71" i="2"/>
  <c r="F71" i="2"/>
  <c r="G64" i="2"/>
  <c r="I64" i="2"/>
  <c r="G54" i="2"/>
  <c r="I54" i="2"/>
  <c r="L54" i="2"/>
  <c r="F54" i="2"/>
  <c r="L47" i="2"/>
  <c r="M47" i="2" s="1"/>
  <c r="G48" i="2"/>
  <c r="I48" i="2"/>
  <c r="M38" i="2"/>
  <c r="L37" i="2"/>
  <c r="M37" i="2" s="1"/>
  <c r="G39" i="2"/>
  <c r="I39" i="2"/>
  <c r="F39" i="2"/>
  <c r="L33" i="2"/>
  <c r="G34" i="2"/>
  <c r="I34" i="2"/>
  <c r="L22" i="2"/>
  <c r="G24" i="2"/>
  <c r="I2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M22" i="2" l="1"/>
  <c r="M24" i="2" s="1"/>
  <c r="M33" i="2"/>
  <c r="M34" i="2" s="1"/>
  <c r="L34" i="2"/>
  <c r="G188" i="2"/>
  <c r="F198" i="2"/>
  <c r="F188" i="2"/>
  <c r="M7" i="2"/>
  <c r="M9" i="2" s="1"/>
  <c r="L9" i="2"/>
  <c r="P39" i="6"/>
  <c r="P55" i="6"/>
  <c r="P35" i="4"/>
  <c r="E11" i="13"/>
  <c r="O64" i="2"/>
  <c r="E12" i="13"/>
  <c r="R45" i="3"/>
  <c r="M86" i="2"/>
  <c r="M93" i="2" s="1"/>
  <c r="L93" i="2"/>
  <c r="O93" i="2" s="1"/>
  <c r="M48" i="2"/>
  <c r="L48" i="2"/>
  <c r="O48" i="2" s="1"/>
  <c r="M139" i="2"/>
  <c r="M138" i="2"/>
  <c r="M137" i="2"/>
  <c r="L76" i="2"/>
  <c r="O76" i="2" s="1"/>
  <c r="M75" i="2"/>
  <c r="M136" i="2"/>
  <c r="M134" i="2"/>
  <c r="M153" i="2"/>
  <c r="O122" i="2"/>
  <c r="O116" i="2"/>
  <c r="M18" i="2"/>
  <c r="M71" i="2"/>
  <c r="L140" i="2"/>
  <c r="O54" i="2"/>
  <c r="P54" i="2" s="1"/>
  <c r="O71" i="2"/>
  <c r="H140" i="2"/>
  <c r="H188" i="2" s="1"/>
  <c r="L153" i="2"/>
  <c r="O153" i="2" s="1"/>
  <c r="L14" i="2"/>
  <c r="O14" i="2" s="1"/>
  <c r="L98" i="2"/>
  <c r="O98" i="2" s="1"/>
  <c r="L103" i="2"/>
  <c r="L158" i="2"/>
  <c r="O158" i="2" s="1"/>
  <c r="M116" i="2"/>
  <c r="L39" i="2"/>
  <c r="O39" i="2" s="1"/>
  <c r="L18" i="2"/>
  <c r="O18" i="2" s="1"/>
  <c r="O34" i="2"/>
  <c r="O24" i="2" l="1"/>
  <c r="P24" i="2" s="1"/>
  <c r="L188" i="2"/>
  <c r="P36" i="4"/>
  <c r="C9" i="13"/>
  <c r="B9" i="13" s="1"/>
  <c r="B18" i="13" s="1"/>
  <c r="F199" i="2"/>
  <c r="E10" i="13"/>
  <c r="E23" i="13" s="1"/>
  <c r="O103" i="2"/>
  <c r="M140" i="2"/>
  <c r="P122" i="2"/>
  <c r="P116" i="2"/>
  <c r="P71" i="2"/>
  <c r="M158" i="2"/>
  <c r="P158" i="2" s="1"/>
  <c r="M98" i="2"/>
  <c r="P98" i="2" s="1"/>
  <c r="P34" i="2"/>
  <c r="P64" i="2"/>
  <c r="M103" i="2"/>
  <c r="M14" i="2"/>
  <c r="M188" i="2" s="1"/>
  <c r="P93" i="2"/>
  <c r="P18" i="2"/>
  <c r="M76" i="2"/>
  <c r="P76" i="2" s="1"/>
  <c r="M39" i="2"/>
  <c r="P39" i="2" s="1"/>
  <c r="P153" i="2"/>
  <c r="O9" i="2"/>
  <c r="P9" i="2" s="1"/>
  <c r="P103" i="2" l="1"/>
  <c r="P14" i="2"/>
  <c r="P48" i="2"/>
  <c r="I140" i="2"/>
  <c r="I188" i="2" l="1"/>
  <c r="M198" i="2" s="1"/>
  <c r="C18" i="13"/>
  <c r="O140" i="2"/>
  <c r="O198" i="2" s="1"/>
  <c r="E9" i="13"/>
  <c r="E22" i="13" s="1"/>
  <c r="K198" i="2" l="1"/>
  <c r="K199" i="2" s="1"/>
  <c r="E24" i="13"/>
  <c r="P140" i="2"/>
  <c r="M199" i="2"/>
  <c r="M200" i="2" s="1"/>
  <c r="E18" i="13"/>
  <c r="F20" i="13" s="1"/>
  <c r="P56" i="6" l="1"/>
</calcChain>
</file>

<file path=xl/sharedStrings.xml><?xml version="1.0" encoding="utf-8"?>
<sst xmlns="http://schemas.openxmlformats.org/spreadsheetml/2006/main" count="1320" uniqueCount="813">
  <si>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</si>
  <si>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</si>
  <si>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</si>
  <si>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</si>
  <si>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</si>
  <si>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</si>
  <si>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</si>
  <si>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</si>
  <si>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</si>
  <si>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</si>
  <si>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</si>
  <si>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</si>
  <si>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</si>
  <si>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</si>
  <si>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</si>
  <si>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</si>
  <si>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</si>
  <si>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</si>
  <si>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</si>
  <si>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</si>
  <si>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</si>
  <si>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</si>
  <si>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</si>
  <si>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</si>
  <si>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</si>
  <si>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</si>
  <si>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</si>
  <si>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</si>
  <si>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</si>
  <si>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</si>
  <si>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</si>
  <si>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</si>
  <si>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</si>
  <si>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</si>
  <si>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</si>
  <si>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</si>
  <si>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</si>
  <si>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</si>
  <si>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</si>
  <si>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</si>
  <si>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</si>
  <si>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</si>
  <si>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</si>
  <si>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</si>
  <si>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</si>
  <si>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</si>
  <si>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</si>
  <si>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</si>
  <si>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</si>
  <si>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</si>
  <si>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</si>
  <si>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</si>
  <si>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</si>
  <si>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</si>
  <si>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</si>
  <si>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</si>
  <si>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</si>
  <si>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</si>
  <si>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</si>
  <si>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</si>
  <si>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</si>
  <si>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</si>
  <si>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</si>
  <si>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</si>
  <si>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</si>
  <si>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</si>
  <si>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</si>
  <si>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</si>
  <si>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</si>
  <si>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</si>
  <si>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</si>
  <si>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</si>
  <si>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</si>
  <si>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</si>
  <si>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</si>
  <si>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</si>
  <si>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</si>
  <si>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</si>
  <si>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</si>
  <si>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</si>
  <si>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</si>
  <si>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</si>
  <si>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</si>
  <si>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</si>
  <si>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</si>
  <si>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</si>
  <si>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</si>
  <si>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</si>
  <si>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</si>
  <si>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</si>
  <si>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</si>
  <si>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</si>
  <si>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</si>
  <si>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</si>
  <si>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</si>
  <si>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</si>
  <si>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</si>
  <si>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</si>
  <si>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</si>
  <si>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</si>
  <si>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</si>
  <si>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</si>
  <si>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</si>
  <si>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</si>
  <si>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</si>
  <si>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</si>
  <si>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</si>
  <si>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</si>
  <si>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</si>
  <si>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</si>
  <si>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</si>
  <si>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</si>
  <si>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</si>
  <si>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</si>
  <si>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</si>
  <si>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</si>
  <si>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</si>
  <si>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</si>
  <si>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</si>
  <si>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</si>
  <si>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</si>
  <si>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</si>
  <si>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</si>
  <si>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</si>
  <si>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</si>
  <si>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</si>
  <si>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</si>
  <si>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</si>
  <si>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</si>
  <si>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</si>
  <si>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</si>
  <si>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</si>
  <si>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</si>
  <si>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</si>
  <si>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</si>
  <si>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</si>
  <si>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</si>
  <si>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</si>
  <si>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</si>
  <si>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</si>
  <si>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</si>
  <si>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</si>
  <si>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</si>
  <si>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</si>
  <si>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</si>
  <si>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</si>
  <si>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</si>
  <si>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</si>
  <si>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</si>
  <si>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</si>
  <si>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</si>
  <si>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</si>
  <si>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</si>
  <si>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</si>
  <si>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</si>
  <si>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</si>
  <si>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</si>
  <si>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</si>
  <si>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</si>
  <si>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</si>
  <si>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</si>
  <si>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</si>
  <si>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</si>
  <si>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</si>
  <si>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</si>
  <si>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</si>
  <si>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</si>
  <si>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</si>
  <si>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</si>
  <si>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</si>
  <si>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</si>
  <si>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</si>
  <si>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</si>
  <si>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</si>
  <si>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</si>
  <si>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</si>
  <si>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</si>
  <si>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</si>
  <si>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</si>
  <si>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</si>
  <si>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</si>
  <si>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</si>
  <si>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</si>
  <si>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</si>
  <si>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</si>
  <si>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</si>
  <si>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</si>
  <si>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</si>
  <si>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</si>
  <si>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</si>
  <si>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</si>
  <si>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</si>
  <si>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</si>
  <si>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</si>
  <si>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</si>
  <si>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</si>
  <si>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</si>
  <si>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</si>
  <si>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</si>
  <si>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</si>
  <si>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</si>
  <si>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</si>
  <si>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</si>
  <si>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</si>
  <si>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</si>
  <si>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</si>
  <si>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</si>
  <si>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</si>
  <si>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</si>
  <si>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</si>
  <si>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</si>
  <si>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</si>
  <si>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</si>
  <si>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</si>
  <si>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</si>
  <si>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</si>
  <si>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</si>
  <si>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</si>
  <si>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</si>
  <si>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</si>
  <si>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</si>
  <si>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</si>
  <si>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</si>
  <si>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</si>
  <si>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</si>
  <si>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</si>
  <si>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</si>
  <si>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</si>
  <si>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</si>
  <si>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</si>
  <si>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</si>
  <si>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</si>
  <si>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</si>
  <si>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</si>
  <si>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</si>
  <si>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</si>
  <si>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</si>
  <si>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</si>
  <si>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</si>
  <si>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</si>
  <si>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</si>
  <si>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</si>
  <si>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</si>
  <si>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</si>
  <si>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</si>
  <si>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</si>
  <si>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</si>
  <si>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</si>
  <si>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</si>
  <si>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</si>
  <si>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</si>
  <si>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</si>
  <si>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</si>
  <si>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</si>
  <si>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</si>
  <si>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</si>
  <si>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</si>
  <si>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</si>
  <si>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</si>
  <si>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</si>
  <si>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</si>
  <si>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</si>
  <si>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</si>
  <si>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</si>
  <si>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</si>
  <si>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</si>
  <si>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</si>
  <si>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</si>
  <si>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</si>
  <si>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</si>
  <si>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</si>
  <si>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</si>
  <si>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</si>
  <si>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</si>
  <si>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</si>
  <si>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</si>
  <si>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</si>
  <si>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</si>
  <si>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</si>
  <si>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</si>
  <si>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</si>
  <si>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</si>
  <si>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</si>
  <si>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</si>
  <si>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</si>
  <si>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</si>
  <si>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</si>
  <si>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</si>
  <si>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</si>
  <si>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</si>
  <si>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</si>
  <si>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</si>
  <si>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</si>
  <si>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</si>
  <si>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</si>
  <si>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</si>
  <si>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</si>
  <si>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</si>
  <si>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</si>
  <si>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</si>
  <si>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</si>
  <si>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</si>
  <si>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</si>
  <si>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</si>
  <si>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</si>
  <si>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</si>
  <si>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</si>
  <si>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</si>
  <si>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</si>
  <si>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</si>
  <si>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</si>
  <si>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</si>
  <si>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</si>
  <si>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</si>
  <si>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</si>
  <si>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</si>
  <si>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</si>
  <si>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</si>
  <si>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</si>
  <si>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</si>
  <si>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</si>
  <si>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</si>
  <si>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</si>
  <si>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</si>
  <si>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</si>
  <si>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</si>
  <si>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</si>
  <si>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</si>
  <si>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</si>
  <si>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</si>
  <si>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</si>
  <si>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</si>
  <si>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</si>
  <si>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</si>
  <si>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</si>
  <si>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</si>
  <si>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</si>
  <si>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</si>
  <si>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</si>
  <si>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</si>
  <si>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</si>
  <si>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</si>
  <si>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</si>
  <si>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</si>
  <si>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</si>
  <si>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</si>
  <si>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</si>
  <si>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</si>
  <si>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</si>
  <si>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</si>
  <si>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</si>
  <si>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</si>
  <si>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</si>
  <si>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</si>
  <si>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</si>
  <si>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</si>
  <si>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</si>
  <si>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</si>
  <si>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</si>
  <si>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</si>
  <si>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</si>
  <si>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</si>
  <si>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</si>
  <si>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</si>
  <si>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</si>
  <si>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</si>
  <si>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</si>
  <si>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</si>
  <si>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</si>
  <si>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</si>
  <si>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</si>
  <si>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</si>
  <si>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</si>
  <si>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</si>
  <si>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</si>
  <si>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</si>
  <si>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</si>
  <si>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</si>
  <si>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</si>
  <si>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</si>
  <si>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</si>
  <si>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</si>
  <si>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</si>
  <si>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</si>
  <si>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</si>
  <si>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</si>
  <si>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</si>
  <si>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</si>
  <si>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</si>
  <si>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</si>
  <si>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</si>
  <si>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</si>
  <si>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</si>
  <si>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</si>
  <si>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</si>
  <si>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</si>
  <si>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</si>
  <si>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</si>
  <si>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</si>
  <si>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</si>
  <si>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</si>
  <si>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</si>
  <si>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</si>
  <si>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</si>
  <si>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</si>
  <si>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</si>
  <si>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</si>
  <si>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</si>
  <si>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</si>
  <si>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</si>
  <si>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</si>
  <si>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</si>
  <si>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</si>
  <si>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</si>
  <si>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</si>
  <si>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</si>
  <si>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</si>
  <si>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</si>
  <si>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</si>
  <si>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</si>
  <si>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</si>
  <si>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</si>
  <si>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</si>
  <si>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</si>
  <si>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</si>
  <si>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</si>
  <si>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</si>
  <si>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</si>
  <si>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</si>
  <si>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</si>
  <si>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</si>
  <si>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</si>
  <si>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</si>
  <si>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</si>
  <si>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</si>
  <si>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</si>
  <si>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</si>
  <si>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</si>
  <si>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</si>
  <si>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</si>
  <si>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</si>
  <si>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</si>
  <si>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</si>
  <si>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</si>
  <si>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</si>
  <si>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</si>
  <si>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</si>
  <si>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</si>
  <si>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</si>
  <si>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</si>
  <si>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</si>
  <si>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</si>
  <si>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</si>
  <si>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</si>
  <si>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</si>
  <si>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</si>
  <si>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</si>
  <si>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</si>
  <si>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</si>
  <si>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</si>
  <si>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</si>
  <si>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</si>
  <si>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</si>
  <si>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</si>
  <si>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</si>
  <si>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</si>
  <si>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</si>
  <si>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</si>
  <si>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</si>
  <si>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</si>
  <si>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</si>
  <si>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</si>
  <si>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</si>
  <si>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</si>
  <si>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</si>
  <si>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</si>
  <si>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</si>
  <si>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</si>
  <si>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</si>
  <si>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</si>
  <si>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</si>
  <si>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</si>
  <si>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</si>
  <si>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</si>
  <si>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</si>
  <si>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</si>
  <si>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</si>
  <si>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</si>
  <si>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</si>
  <si>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</si>
  <si>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</si>
  <si>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</si>
  <si>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</si>
  <si>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</si>
  <si>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</si>
  <si>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</si>
  <si>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</si>
  <si>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</si>
  <si>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</si>
  <si>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</si>
  <si>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</si>
  <si>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</si>
  <si>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</si>
  <si>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</si>
  <si>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</si>
  <si>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</si>
  <si>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</si>
  <si>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</si>
  <si>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</si>
  <si>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</si>
  <si>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</si>
  <si>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</si>
  <si>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</si>
  <si>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</si>
  <si>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</si>
  <si>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</si>
  <si>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</si>
  <si>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</si>
  <si>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</si>
  <si>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</si>
  <si>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</si>
  <si>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</si>
  <si>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</si>
  <si>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</si>
  <si>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</si>
  <si>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</si>
  <si>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</si>
  <si>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</si>
  <si>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</si>
  <si>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</si>
  <si>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</si>
  <si>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</si>
  <si>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</si>
  <si>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</si>
  <si>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</si>
  <si>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</si>
  <si>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</si>
  <si>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</si>
  <si>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</si>
  <si>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</si>
  <si>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</si>
  <si>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</si>
  <si>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</si>
  <si>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</si>
  <si>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</si>
  <si>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</si>
  <si>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</si>
  <si>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</si>
  <si>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</si>
  <si>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</si>
  <si>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</si>
  <si>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</si>
  <si>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</si>
  <si>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</si>
  <si>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</si>
  <si>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</si>
  <si>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</si>
  <si>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</si>
  <si>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</si>
  <si>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</si>
  <si>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</si>
  <si>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</si>
  <si>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</si>
  <si>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</si>
  <si>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</si>
  <si>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</si>
  <si>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</si>
  <si>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</si>
  <si>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</si>
  <si>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</si>
  <si>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</si>
  <si>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>LOPEZ FLORES ULISES</t>
  </si>
  <si>
    <t>CHOFER DE VOLTEO</t>
  </si>
  <si>
    <t>ALTA</t>
  </si>
  <si>
    <t>BAJA</t>
  </si>
  <si>
    <t>GALVAN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</si>
  <si>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</si>
  <si>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</si>
  <si>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</si>
  <si>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</si>
  <si>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</si>
  <si>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</si>
  <si>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</si>
  <si>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</si>
  <si>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</si>
  <si>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</si>
  <si>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</si>
  <si>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</si>
  <si>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</si>
  <si>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</si>
  <si>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</si>
  <si>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</si>
  <si>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</si>
  <si>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</si>
  <si>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</si>
  <si>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</si>
  <si>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</si>
  <si>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</si>
  <si>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</si>
  <si>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</si>
  <si>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</si>
  <si>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</si>
  <si>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</si>
  <si>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</si>
  <si>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</si>
  <si>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</si>
  <si>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</si>
  <si>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</si>
  <si>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</si>
  <si>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</si>
  <si>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</si>
  <si>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</si>
  <si>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</si>
  <si>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</si>
  <si>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</si>
  <si>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</si>
  <si>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</si>
  <si>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</si>
  <si>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</si>
  <si>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</si>
  <si>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</si>
  <si>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</si>
  <si>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</si>
  <si>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</si>
  <si>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</si>
  <si>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</si>
  <si>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</si>
  <si>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</si>
  <si>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</si>
  <si>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</si>
  <si>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</si>
  <si>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</si>
  <si>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</si>
  <si>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</si>
  <si>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</si>
  <si>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</si>
  <si>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</si>
  <si>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</si>
  <si>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</si>
  <si>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</si>
  <si>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</si>
  <si>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</si>
  <si>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</si>
  <si>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</si>
  <si>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</si>
  <si>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</si>
  <si>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</si>
  <si>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</si>
  <si>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</si>
  <si>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</si>
  <si>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</si>
  <si>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</si>
  <si>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</si>
  <si>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</si>
  <si>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</si>
  <si>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</si>
  <si>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</si>
  <si>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</si>
  <si>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</si>
  <si>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</si>
  <si>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</si>
  <si>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</si>
  <si>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</si>
  <si>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</si>
  <si>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</si>
  <si>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</si>
  <si>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</si>
  <si>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</si>
  <si>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</si>
  <si>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</si>
  <si>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</si>
  <si>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</si>
  <si>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</si>
  <si>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</si>
  <si>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</si>
  <si>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</si>
  <si>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</si>
  <si>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</si>
  <si>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</si>
  <si>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</si>
  <si>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</si>
  <si>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</si>
  <si>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</si>
  <si>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</si>
  <si>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</si>
  <si>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</si>
  <si>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</si>
  <si>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</si>
  <si>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</si>
  <si>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</si>
  <si>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</si>
  <si>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</si>
  <si>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</si>
  <si>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</si>
  <si>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</si>
  <si>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</si>
  <si>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</si>
  <si>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</si>
  <si>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</si>
  <si>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</si>
  <si>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</si>
  <si>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</si>
  <si>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</si>
  <si>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</si>
  <si>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</si>
  <si>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</si>
  <si>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</si>
  <si>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</si>
  <si>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</si>
  <si>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</si>
  <si>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</si>
  <si>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</si>
  <si>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</si>
  <si>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</si>
  <si>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</si>
  <si>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</si>
  <si>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</si>
  <si>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</si>
  <si>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</si>
  <si>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</si>
  <si>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</si>
  <si>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</si>
  <si>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</si>
  <si>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</si>
  <si>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</si>
  <si>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</si>
  <si>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</si>
  <si>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</si>
  <si>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</si>
  <si>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</si>
  <si>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</si>
  <si>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</si>
  <si>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</si>
  <si>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</si>
  <si>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</si>
  <si>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</si>
  <si>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</si>
  <si>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</si>
  <si>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</si>
  <si>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 xml:space="preserve">IVETTE CARRILLO LOERA 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</si>
  <si>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</si>
  <si>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</si>
  <si>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</si>
  <si>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</si>
  <si>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</si>
  <si>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</si>
  <si>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</si>
  <si>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</si>
  <si>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</si>
  <si>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</si>
  <si>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</si>
  <si>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</si>
  <si>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</si>
  <si>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</si>
  <si>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</si>
  <si>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</si>
  <si>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5 DE MARZO 2021</t>
  </si>
  <si>
    <t>Mtra. MARIA ROSAURA BECERRA OLMEDO</t>
  </si>
  <si>
    <t xml:space="preserve">   VISTO BUENO</t>
  </si>
  <si>
    <t>LIZBETH VERARIT MARTINEZ CARRILLO</t>
  </si>
  <si>
    <t>51</t>
  </si>
  <si>
    <t xml:space="preserve">Juan  Manuel </t>
  </si>
  <si>
    <t>Departamento 21 Desarrollo Rural</t>
  </si>
  <si>
    <t>Departamento 22 Transparencia</t>
  </si>
  <si>
    <t>Departamento 23 Contraloria</t>
  </si>
  <si>
    <t>Departamento 24 Promocion Economica</t>
  </si>
  <si>
    <t>ALTA EL 16 DE MARZO 2021</t>
  </si>
  <si>
    <t>DESCUENTO EN NOMINA</t>
  </si>
  <si>
    <t>MARIA DEL REFUGIO REYES AGUIRRE</t>
  </si>
  <si>
    <t>ALTA  EL 1 DE ABRIL 2021</t>
  </si>
  <si>
    <t>|</t>
  </si>
  <si>
    <t xml:space="preserve">J. JUAN ARMAS ARMAS </t>
  </si>
  <si>
    <t>ALTA 15 DE ABRIL 2021</t>
  </si>
  <si>
    <t xml:space="preserve">MARTIN NERCADO AVILA </t>
  </si>
  <si>
    <t>SUPERVISOR DE OBRAS</t>
  </si>
  <si>
    <t xml:space="preserve">AUXILIAR DE OBRAS </t>
  </si>
  <si>
    <t>ALTA  15 DE ABRIL 2021</t>
  </si>
  <si>
    <t>VIRIDIANA SANCHEZ PALACIOS</t>
  </si>
  <si>
    <t>52</t>
  </si>
  <si>
    <t>PAGO DEL MES DE MAYO 2021</t>
  </si>
  <si>
    <t>MONAY</t>
  </si>
  <si>
    <t>AVALOS</t>
  </si>
  <si>
    <t>RAUL</t>
  </si>
  <si>
    <t>ENCARGADO DE PANTEON DE LA COMUNIDAD DEL SAUCILLO</t>
  </si>
  <si>
    <t>ALTA -        15/05/2021</t>
  </si>
  <si>
    <t>NOMINA DE REGIDORES DEL 16  AL 31  DE MAYO 2021</t>
  </si>
  <si>
    <t>NOMINA PERSONAL PERMANENTE DEL 16  AL 31 DE MAYO 2021</t>
  </si>
  <si>
    <t>NOMINA PERSONAL PERMANENTE DE 16  AL 31 DE MAYO    2021</t>
  </si>
  <si>
    <t>NOMINA PERSONAL PERMANENTE DEL 16 AL 31 MAYO   2021</t>
  </si>
  <si>
    <t>NOMINA PERSONAL PERMANENTE DEL 16 AL 31 DE MAYO   2021</t>
  </si>
  <si>
    <t>NOMINA PERSONAL PERMANENTE DEL  16 AL 31 DE MAYO DE   2021</t>
  </si>
  <si>
    <t>NOMINA PERSONAL PERMANENTE DEL 16 AL 31 DE MAYO  2021</t>
  </si>
  <si>
    <t>NOMINA PERSONAL PERMANENTE DEL 16 AL 31  DE MAYO  2021</t>
  </si>
  <si>
    <t>DESCONTAR 1 DIA</t>
  </si>
  <si>
    <t>NOMINA DEL 16  AL 31 DE MAYO DEL 2021</t>
  </si>
  <si>
    <t xml:space="preserve">DESCONTAR 1 DIA </t>
  </si>
  <si>
    <t xml:space="preserve">                DEL 16 AL 31 DE MAYO DEL 2021</t>
  </si>
  <si>
    <t>ALTA EL 21 DE MAYO 2021</t>
  </si>
  <si>
    <t>BAJA EL 20 DE MAYO 2021</t>
  </si>
  <si>
    <t>ALTA EL 24 DE MAYO 2021</t>
  </si>
  <si>
    <t>53</t>
  </si>
  <si>
    <t>54</t>
  </si>
  <si>
    <t>NOMINA  DEL 16 AL 31 DE MAYO  2021</t>
  </si>
  <si>
    <t>NOMINA DEL 16  AL 31 DE MAYO  DE 2021</t>
  </si>
  <si>
    <t>NOMINA DE PENSIONADOS DEL 16 AL 31  DE MAYO   2021</t>
  </si>
  <si>
    <t>H. Ayuntamiento de Hostotipaquillo Jal 2018-2021 Nomina Correspondiente al mes de Mayo  2021</t>
  </si>
  <si>
    <t>PRESIDENTE MUNICIPAL ( Interino )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</si>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</sst>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10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1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44" fontId="14" fillId="12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0" fillId="3" borderId="0" xfId="0" applyFill="1"/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vertical="center"/>
    </xf>
    <xf numFmtId="12" fontId="13" fillId="12" borderId="5" xfId="0" applyNumberFormat="1" applyFont="1" applyFill="1" applyBorder="1" applyAlignment="1">
      <alignment vertical="center"/>
    </xf>
    <xf numFmtId="0" fontId="13" fillId="12" borderId="5" xfId="0" applyFont="1" applyFill="1" applyBorder="1" applyAlignment="1">
      <alignment vertical="center"/>
    </xf>
    <xf numFmtId="44" fontId="13" fillId="12" borderId="5" xfId="0" applyNumberFormat="1" applyFont="1" applyFill="1" applyBorder="1" applyAlignment="1">
      <alignment vertical="center"/>
    </xf>
    <xf numFmtId="44" fontId="69" fillId="12" borderId="5" xfId="0" applyNumberFormat="1" applyFont="1" applyFill="1" applyBorder="1" applyAlignment="1">
      <alignment vertical="center"/>
    </xf>
    <xf numFmtId="44" fontId="13" fillId="12" borderId="5" xfId="2" applyFont="1" applyFill="1" applyBorder="1" applyAlignment="1">
      <alignment vertical="center"/>
    </xf>
    <xf numFmtId="44" fontId="13" fillId="12" borderId="9" xfId="2" applyFont="1" applyFill="1" applyBorder="1" applyAlignment="1">
      <alignment vertical="center"/>
    </xf>
    <xf numFmtId="0" fontId="17" fillId="12" borderId="5" xfId="0" applyFont="1" applyFill="1" applyBorder="1" applyAlignment="1">
      <alignment vertical="center"/>
    </xf>
    <xf numFmtId="0" fontId="0" fillId="12" borderId="5" xfId="0" applyFill="1" applyBorder="1"/>
    <xf numFmtId="43" fontId="75" fillId="12" borderId="5" xfId="1" applyFont="1" applyFill="1" applyBorder="1"/>
    <xf numFmtId="43" fontId="0" fillId="12" borderId="5" xfId="1" applyFont="1" applyFill="1" applyBorder="1"/>
    <xf numFmtId="44" fontId="0" fillId="12" borderId="5" xfId="1" applyNumberFormat="1" applyFont="1" applyFill="1" applyBorder="1"/>
    <xf numFmtId="0" fontId="98" fillId="0" borderId="0" xfId="0" applyFont="1"/>
    <xf numFmtId="0" fontId="9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72</xdr:row>
      <xdr:rowOff>31401</xdr:rowOff>
    </xdr:from>
    <xdr:to>
      <xdr:col>11</xdr:col>
      <xdr:colOff>1884064</xdr:colOff>
      <xdr:row>74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484873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36</xdr:row>
      <xdr:rowOff>9525</xdr:rowOff>
    </xdr:from>
    <xdr:to>
      <xdr:col>10</xdr:col>
      <xdr:colOff>2028825</xdr:colOff>
      <xdr:row>40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705725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36</xdr:row>
      <xdr:rowOff>0</xdr:rowOff>
    </xdr:from>
    <xdr:to>
      <xdr:col>5</xdr:col>
      <xdr:colOff>647700</xdr:colOff>
      <xdr:row>36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B22" sqref="B22:C22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41"/>
      <c r="D1" s="642"/>
      <c r="E1" s="642"/>
      <c r="F1" s="642"/>
      <c r="G1" s="642"/>
      <c r="H1" s="642"/>
      <c r="I1" s="276"/>
      <c r="J1" s="23"/>
      <c r="K1" s="23"/>
      <c r="L1" s="23"/>
      <c r="M1" s="23"/>
    </row>
    <row r="2" spans="2:20" ht="19.5">
      <c r="B2" s="643" t="s">
        <v>206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5"/>
    </row>
    <row r="3" spans="2:20">
      <c r="B3" s="646" t="s">
        <v>785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8"/>
    </row>
    <row r="4" spans="2:20">
      <c r="B4" s="24" t="s">
        <v>770</v>
      </c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18" t="s">
        <v>1</v>
      </c>
      <c r="C6" s="639" t="s">
        <v>2</v>
      </c>
      <c r="D6" s="640"/>
      <c r="E6" s="517" t="s">
        <v>219</v>
      </c>
      <c r="F6" s="517"/>
      <c r="G6" s="517" t="s">
        <v>5</v>
      </c>
      <c r="H6" s="517" t="s">
        <v>44</v>
      </c>
      <c r="I6" s="517" t="s">
        <v>561</v>
      </c>
      <c r="J6" s="517" t="s">
        <v>43</v>
      </c>
      <c r="K6" s="517" t="s">
        <v>6</v>
      </c>
      <c r="L6" s="517" t="s">
        <v>7</v>
      </c>
      <c r="M6" s="453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260</v>
      </c>
      <c r="C8" s="637" t="s">
        <v>777</v>
      </c>
      <c r="D8" s="638"/>
      <c r="E8" s="9" t="s">
        <v>220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5">
        <f>G8+H8-J8-I8</f>
        <v>10448</v>
      </c>
      <c r="M8" s="3"/>
      <c r="P8" s="153"/>
    </row>
    <row r="9" spans="2:20" ht="39.950000000000003" customHeight="1">
      <c r="B9" s="154" t="s">
        <v>261</v>
      </c>
      <c r="C9" s="637" t="s">
        <v>430</v>
      </c>
      <c r="D9" s="638"/>
      <c r="E9" s="9" t="s">
        <v>220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5">
        <f t="shared" ref="L9:L17" si="1">G9+H9-J9-I9</f>
        <v>10448</v>
      </c>
      <c r="M9" s="120"/>
      <c r="P9" s="153"/>
    </row>
    <row r="10" spans="2:20" ht="39.950000000000003" customHeight="1">
      <c r="B10" s="154" t="s">
        <v>262</v>
      </c>
      <c r="C10" s="637" t="s">
        <v>538</v>
      </c>
      <c r="D10" s="638"/>
      <c r="E10" s="9" t="s">
        <v>220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263</v>
      </c>
      <c r="C11" s="637" t="s">
        <v>754</v>
      </c>
      <c r="D11" s="638"/>
      <c r="E11" s="9" t="s">
        <v>220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5">
        <f t="shared" si="1"/>
        <v>10448</v>
      </c>
      <c r="M11" s="120"/>
      <c r="N11" s="151" t="s">
        <v>755</v>
      </c>
      <c r="P11" s="153"/>
    </row>
    <row r="12" spans="2:20" ht="39.950000000000003" customHeight="1">
      <c r="B12" s="154" t="s">
        <v>264</v>
      </c>
      <c r="C12" s="637" t="s">
        <v>41</v>
      </c>
      <c r="D12" s="638"/>
      <c r="E12" s="9" t="s">
        <v>220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5">
        <f t="shared" si="1"/>
        <v>10448</v>
      </c>
      <c r="M12" s="120"/>
      <c r="P12" s="153"/>
    </row>
    <row r="13" spans="2:20" ht="39.950000000000003" customHeight="1">
      <c r="B13" s="154" t="s">
        <v>265</v>
      </c>
      <c r="C13" s="637" t="s">
        <v>711</v>
      </c>
      <c r="D13" s="638"/>
      <c r="E13" s="9" t="s">
        <v>220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N13" s="286"/>
      <c r="P13" s="153"/>
    </row>
    <row r="14" spans="2:20" ht="39.950000000000003" customHeight="1">
      <c r="B14" s="154" t="s">
        <v>266</v>
      </c>
      <c r="C14" s="637" t="s">
        <v>34</v>
      </c>
      <c r="D14" s="638"/>
      <c r="E14" s="9" t="s">
        <v>220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P14" s="153"/>
    </row>
    <row r="15" spans="2:20" ht="39.950000000000003" customHeight="1">
      <c r="B15" s="154" t="s">
        <v>267</v>
      </c>
      <c r="C15" s="637" t="s">
        <v>32</v>
      </c>
      <c r="D15" s="638"/>
      <c r="E15" s="9" t="s">
        <v>220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3"/>
      <c r="P15" s="153"/>
      <c r="S15" s="156">
        <v>81249.2</v>
      </c>
      <c r="T15" s="151" t="s">
        <v>216</v>
      </c>
    </row>
    <row r="16" spans="2:20" ht="39.950000000000003" customHeight="1">
      <c r="B16" s="154" t="s">
        <v>268</v>
      </c>
      <c r="C16" s="637" t="s">
        <v>33</v>
      </c>
      <c r="D16" s="638"/>
      <c r="E16" s="9" t="s">
        <v>220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5">
        <f>G16-K16</f>
        <v>10448</v>
      </c>
      <c r="M16" s="3"/>
      <c r="P16" s="153"/>
      <c r="S16" s="156">
        <v>262038.17</v>
      </c>
      <c r="T16" s="151" t="s">
        <v>207</v>
      </c>
    </row>
    <row r="17" spans="2:20" ht="39.950000000000003" customHeight="1">
      <c r="B17" s="154" t="s">
        <v>269</v>
      </c>
      <c r="C17" s="637" t="s">
        <v>559</v>
      </c>
      <c r="D17" s="638"/>
      <c r="E17" s="9" t="s">
        <v>221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5">
        <f t="shared" si="1"/>
        <v>10448</v>
      </c>
      <c r="M17" s="3"/>
      <c r="P17" s="153"/>
      <c r="S17" s="157"/>
      <c r="T17" s="158"/>
    </row>
    <row r="18" spans="2:20" ht="15.75" thickBot="1">
      <c r="B18" s="159"/>
      <c r="C18" s="509" t="s">
        <v>45</v>
      </c>
      <c r="D18" s="510">
        <f>SUM(D8:D17)</f>
        <v>0</v>
      </c>
      <c r="E18" s="510"/>
      <c r="F18" s="510">
        <f t="shared" ref="F18:H18" si="2">SUM(F8:F17)</f>
        <v>0</v>
      </c>
      <c r="G18" s="510">
        <f>SUM(G8:G17)</f>
        <v>123700</v>
      </c>
      <c r="H18" s="510">
        <f t="shared" si="2"/>
        <v>0</v>
      </c>
      <c r="I18" s="510">
        <f>SUM(I8:I17)</f>
        <v>0</v>
      </c>
      <c r="J18" s="542">
        <f>SUM(J8:J17)</f>
        <v>19220</v>
      </c>
      <c r="K18" s="510">
        <f>SUM(K8:K17)</f>
        <v>19220</v>
      </c>
      <c r="L18" s="211">
        <f>SUM(L8:L17)</f>
        <v>104480</v>
      </c>
      <c r="M18" s="543"/>
      <c r="P18" s="153"/>
    </row>
    <row r="19" spans="2:20" ht="15.75" thickTop="1">
      <c r="J19" s="258"/>
      <c r="L19" s="160" t="s">
        <v>46</v>
      </c>
      <c r="P19" s="153"/>
    </row>
    <row r="20" spans="2:20">
      <c r="P20" s="153"/>
      <c r="S20" s="156">
        <v>81333.070000000007</v>
      </c>
      <c r="T20" s="151" t="s">
        <v>217</v>
      </c>
    </row>
    <row r="21" spans="2:20">
      <c r="F21" s="164"/>
      <c r="G21" s="164"/>
      <c r="H21" s="164"/>
      <c r="I21" s="164"/>
      <c r="J21" s="164"/>
      <c r="L21" s="164"/>
      <c r="M21" s="164"/>
      <c r="P21" s="153"/>
      <c r="S21" s="156">
        <v>53056.03</v>
      </c>
      <c r="T21" s="151" t="s">
        <v>218</v>
      </c>
    </row>
    <row r="22" spans="2:20">
      <c r="B22" s="649" t="s">
        <v>807</v>
      </c>
      <c r="C22" s="649"/>
      <c r="D22" s="163"/>
      <c r="F22" s="651" t="s">
        <v>757</v>
      </c>
      <c r="G22" s="651"/>
      <c r="H22" s="651"/>
      <c r="I22" s="651"/>
      <c r="J22" s="651"/>
      <c r="L22" s="649" t="s">
        <v>701</v>
      </c>
      <c r="M22" s="649"/>
      <c r="N22" s="6"/>
      <c r="P22" s="98"/>
      <c r="Q22" s="98"/>
      <c r="S22" s="157"/>
    </row>
    <row r="23" spans="2:20">
      <c r="B23" s="650" t="s">
        <v>145</v>
      </c>
      <c r="C23" s="650"/>
      <c r="D23" s="6"/>
      <c r="F23" s="650" t="s">
        <v>402</v>
      </c>
      <c r="G23" s="650"/>
      <c r="H23" s="650"/>
      <c r="I23" s="650"/>
      <c r="J23" s="650"/>
      <c r="L23" s="650" t="s">
        <v>30</v>
      </c>
      <c r="M23" s="650"/>
      <c r="N23" s="6"/>
      <c r="P23" s="6"/>
      <c r="Q23" s="6"/>
    </row>
    <row r="24" spans="2:20">
      <c r="P24" s="153"/>
    </row>
    <row r="25" spans="2:20">
      <c r="P25" s="153"/>
      <c r="S25" s="156">
        <v>96237.05</v>
      </c>
      <c r="T25" s="151" t="s">
        <v>208</v>
      </c>
    </row>
    <row r="26" spans="2:20">
      <c r="P26" s="153"/>
    </row>
    <row r="27" spans="2:20">
      <c r="L27" s="258">
        <f>G18-I18-J18</f>
        <v>104480</v>
      </c>
      <c r="P27" s="153"/>
      <c r="S27" s="156">
        <v>103878.79</v>
      </c>
      <c r="T27" s="151" t="s">
        <v>215</v>
      </c>
    </row>
    <row r="28" spans="2:20">
      <c r="L28" s="258">
        <f>L18-L27</f>
        <v>0</v>
      </c>
      <c r="P28" s="153"/>
    </row>
    <row r="29" spans="2:20">
      <c r="P29" s="153"/>
      <c r="S29" s="156">
        <v>128320</v>
      </c>
      <c r="T29" s="151" t="s">
        <v>256</v>
      </c>
    </row>
    <row r="30" spans="2:20">
      <c r="P30" s="161"/>
      <c r="S30" s="162">
        <f>SUM(S15:S29)</f>
        <v>806112.31</v>
      </c>
      <c r="T30" s="151" t="s">
        <v>257</v>
      </c>
    </row>
    <row r="31" spans="2:20">
      <c r="P31" s="161"/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</sheetData>
  <mergeCells count="20">
    <mergeCell ref="B22:C22"/>
    <mergeCell ref="B23:C23"/>
    <mergeCell ref="L22:M22"/>
    <mergeCell ref="L23:M23"/>
    <mergeCell ref="F22:J22"/>
    <mergeCell ref="F23:J23"/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4"/>
  <sheetViews>
    <sheetView topLeftCell="A7" workbookViewId="0">
      <selection activeCell="L29" sqref="L29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26" t="s">
        <v>532</v>
      </c>
      <c r="D2" s="726"/>
      <c r="E2" s="726"/>
      <c r="F2" s="726"/>
      <c r="G2" s="726"/>
      <c r="H2" s="726"/>
      <c r="I2" s="726"/>
      <c r="J2" s="726"/>
      <c r="K2" s="246"/>
    </row>
    <row r="3" spans="3:12" ht="42.75">
      <c r="C3" s="727" t="s">
        <v>779</v>
      </c>
      <c r="D3" s="727"/>
      <c r="E3" s="727"/>
      <c r="F3" s="727"/>
      <c r="G3" s="727"/>
      <c r="H3" s="727"/>
      <c r="I3" s="727"/>
      <c r="J3" s="288"/>
      <c r="K3" s="180"/>
    </row>
    <row r="4" spans="3:12" ht="18.75">
      <c r="C4" s="728" t="s">
        <v>343</v>
      </c>
      <c r="D4" s="730" t="s">
        <v>47</v>
      </c>
      <c r="E4" s="730"/>
      <c r="F4" s="731"/>
      <c r="G4" s="178"/>
      <c r="H4" s="178" t="s">
        <v>622</v>
      </c>
      <c r="I4" s="178"/>
      <c r="J4" s="165"/>
      <c r="K4" s="165"/>
    </row>
    <row r="5" spans="3:12" ht="18.75">
      <c r="C5" s="729"/>
      <c r="D5" s="179" t="s">
        <v>48</v>
      </c>
      <c r="E5" s="603" t="s">
        <v>49</v>
      </c>
      <c r="F5" s="606" t="s">
        <v>50</v>
      </c>
      <c r="G5" s="604" t="s">
        <v>51</v>
      </c>
      <c r="H5" s="178"/>
      <c r="I5" s="178" t="s">
        <v>52</v>
      </c>
      <c r="J5" s="178" t="s">
        <v>342</v>
      </c>
      <c r="K5" s="247" t="s">
        <v>521</v>
      </c>
    </row>
    <row r="6" spans="3:12">
      <c r="C6" s="173">
        <v>1</v>
      </c>
      <c r="D6" s="176" t="s">
        <v>307</v>
      </c>
      <c r="E6" s="176" t="s">
        <v>333</v>
      </c>
      <c r="F6" s="605" t="s">
        <v>332</v>
      </c>
      <c r="G6" s="176" t="s">
        <v>331</v>
      </c>
      <c r="H6" s="176">
        <v>122</v>
      </c>
      <c r="I6" s="175" t="s">
        <v>340</v>
      </c>
      <c r="J6" s="571">
        <v>1146</v>
      </c>
      <c r="K6" s="174"/>
    </row>
    <row r="7" spans="3:12">
      <c r="C7" s="173">
        <v>2</v>
      </c>
      <c r="D7" s="176" t="s">
        <v>320</v>
      </c>
      <c r="E7" s="176" t="s">
        <v>315</v>
      </c>
      <c r="F7" s="176" t="s">
        <v>319</v>
      </c>
      <c r="G7" s="176" t="s">
        <v>318</v>
      </c>
      <c r="H7" s="176">
        <v>122</v>
      </c>
      <c r="I7" s="177">
        <v>15544028286487</v>
      </c>
      <c r="J7" s="571">
        <v>1146</v>
      </c>
      <c r="K7" s="174"/>
    </row>
    <row r="8" spans="3:12">
      <c r="C8" s="173">
        <v>3</v>
      </c>
      <c r="D8" s="176" t="s">
        <v>596</v>
      </c>
      <c r="E8" s="176" t="s">
        <v>597</v>
      </c>
      <c r="F8" s="176" t="s">
        <v>598</v>
      </c>
      <c r="G8" s="176" t="s">
        <v>317</v>
      </c>
      <c r="H8" s="176">
        <v>122</v>
      </c>
      <c r="I8" s="177">
        <v>15600228287644</v>
      </c>
      <c r="J8" s="571">
        <v>1146</v>
      </c>
      <c r="K8" s="174"/>
    </row>
    <row r="9" spans="3:12">
      <c r="C9" s="173">
        <v>4</v>
      </c>
      <c r="D9" s="176" t="s">
        <v>330</v>
      </c>
      <c r="E9" s="176" t="s">
        <v>437</v>
      </c>
      <c r="F9" s="176" t="s">
        <v>436</v>
      </c>
      <c r="G9" s="176" t="s">
        <v>623</v>
      </c>
      <c r="H9" s="176">
        <v>122</v>
      </c>
      <c r="I9" s="177"/>
      <c r="J9" s="571">
        <v>1146</v>
      </c>
      <c r="K9" s="174"/>
    </row>
    <row r="10" spans="3:12">
      <c r="C10" s="173">
        <v>5</v>
      </c>
      <c r="D10" s="176" t="s">
        <v>303</v>
      </c>
      <c r="E10" s="176" t="s">
        <v>302</v>
      </c>
      <c r="F10" s="172" t="s">
        <v>301</v>
      </c>
      <c r="G10" s="176" t="s">
        <v>300</v>
      </c>
      <c r="H10" s="176">
        <v>122</v>
      </c>
      <c r="I10" s="175" t="s">
        <v>329</v>
      </c>
      <c r="J10" s="571">
        <v>1146</v>
      </c>
      <c r="K10" s="265"/>
      <c r="L10" s="289"/>
    </row>
    <row r="11" spans="3:12">
      <c r="C11" s="173">
        <v>6</v>
      </c>
      <c r="D11" s="172" t="s">
        <v>299</v>
      </c>
      <c r="E11" s="172" t="s">
        <v>298</v>
      </c>
      <c r="F11" s="172" t="s">
        <v>297</v>
      </c>
      <c r="G11" s="172" t="s">
        <v>296</v>
      </c>
      <c r="H11" s="176">
        <v>122</v>
      </c>
      <c r="I11" s="175" t="s">
        <v>324</v>
      </c>
      <c r="J11" s="571">
        <v>1146</v>
      </c>
      <c r="K11" s="174"/>
    </row>
    <row r="12" spans="3:12">
      <c r="C12" s="173">
        <v>7</v>
      </c>
      <c r="D12" s="176" t="s">
        <v>515</v>
      </c>
      <c r="E12" s="176" t="s">
        <v>516</v>
      </c>
      <c r="F12" s="176" t="s">
        <v>517</v>
      </c>
      <c r="G12" s="176" t="s">
        <v>518</v>
      </c>
      <c r="H12" s="176">
        <v>122</v>
      </c>
      <c r="I12" s="175" t="s">
        <v>321</v>
      </c>
      <c r="J12" s="571">
        <v>1712</v>
      </c>
      <c r="K12" s="174"/>
    </row>
    <row r="13" spans="3:12">
      <c r="C13" s="173">
        <v>8</v>
      </c>
      <c r="D13" s="176" t="s">
        <v>544</v>
      </c>
      <c r="E13" s="176" t="s">
        <v>333</v>
      </c>
      <c r="F13" s="176" t="s">
        <v>545</v>
      </c>
      <c r="G13" s="176" t="s">
        <v>546</v>
      </c>
      <c r="H13" s="176">
        <v>122</v>
      </c>
      <c r="I13" s="177">
        <v>1553028285628</v>
      </c>
      <c r="J13" s="571">
        <v>1146</v>
      </c>
      <c r="K13" s="174"/>
    </row>
    <row r="14" spans="3:12">
      <c r="C14" s="173">
        <v>9</v>
      </c>
      <c r="D14" s="176" t="s">
        <v>550</v>
      </c>
      <c r="E14" s="176" t="s">
        <v>551</v>
      </c>
      <c r="F14" s="176" t="s">
        <v>319</v>
      </c>
      <c r="G14" s="176" t="s">
        <v>552</v>
      </c>
      <c r="H14" s="176">
        <v>122</v>
      </c>
      <c r="I14" s="177"/>
      <c r="J14" s="571">
        <v>1146</v>
      </c>
      <c r="K14" s="174"/>
    </row>
    <row r="15" spans="3:12">
      <c r="C15" s="409">
        <v>10</v>
      </c>
      <c r="D15" s="198" t="s">
        <v>643</v>
      </c>
      <c r="E15" s="198" t="s">
        <v>644</v>
      </c>
      <c r="F15" s="198" t="s">
        <v>645</v>
      </c>
      <c r="G15" s="198" t="s">
        <v>668</v>
      </c>
      <c r="H15" s="198">
        <v>122</v>
      </c>
      <c r="I15" s="410"/>
      <c r="J15" s="572">
        <v>1712</v>
      </c>
      <c r="K15" s="411"/>
      <c r="L15" t="s">
        <v>628</v>
      </c>
    </row>
    <row r="16" spans="3:12">
      <c r="C16" s="359">
        <v>11</v>
      </c>
      <c r="D16" s="176" t="s">
        <v>665</v>
      </c>
      <c r="E16" s="176" t="s">
        <v>666</v>
      </c>
      <c r="F16" s="176" t="s">
        <v>678</v>
      </c>
      <c r="G16" s="176" t="s">
        <v>667</v>
      </c>
      <c r="H16" s="176">
        <v>122</v>
      </c>
      <c r="I16" s="177"/>
      <c r="J16" s="571">
        <v>1560</v>
      </c>
      <c r="K16" s="174"/>
      <c r="L16" t="s">
        <v>671</v>
      </c>
    </row>
    <row r="17" spans="3:12" ht="25.5" customHeight="1">
      <c r="C17" s="359">
        <v>12</v>
      </c>
      <c r="D17" s="172" t="s">
        <v>519</v>
      </c>
      <c r="E17" s="172" t="s">
        <v>515</v>
      </c>
      <c r="F17" s="172" t="s">
        <v>520</v>
      </c>
      <c r="G17" s="263" t="s">
        <v>547</v>
      </c>
      <c r="H17" s="176">
        <v>122</v>
      </c>
      <c r="I17" s="177" t="s">
        <v>312</v>
      </c>
      <c r="J17" s="571">
        <v>1639</v>
      </c>
      <c r="K17" s="174"/>
    </row>
    <row r="18" spans="3:12">
      <c r="C18" s="607">
        <v>13</v>
      </c>
      <c r="D18" s="198" t="s">
        <v>544</v>
      </c>
      <c r="E18" s="198" t="s">
        <v>298</v>
      </c>
      <c r="F18" s="198" t="s">
        <v>735</v>
      </c>
      <c r="G18" s="608" t="s">
        <v>736</v>
      </c>
      <c r="H18" s="198">
        <v>122</v>
      </c>
      <c r="I18" s="410"/>
      <c r="J18" s="572">
        <v>1146</v>
      </c>
      <c r="K18" s="609"/>
      <c r="L18" s="574" t="s">
        <v>737</v>
      </c>
    </row>
    <row r="19" spans="3:12" ht="25.5" thickBot="1">
      <c r="C19" s="379">
        <v>14</v>
      </c>
      <c r="D19" s="373" t="s">
        <v>780</v>
      </c>
      <c r="E19" s="373" t="s">
        <v>781</v>
      </c>
      <c r="F19" s="373" t="s">
        <v>782</v>
      </c>
      <c r="G19" s="583" t="s">
        <v>783</v>
      </c>
      <c r="H19" s="373">
        <v>122</v>
      </c>
      <c r="I19" s="584"/>
      <c r="J19" s="585">
        <v>850</v>
      </c>
      <c r="K19" s="586"/>
      <c r="L19" s="574" t="s">
        <v>784</v>
      </c>
    </row>
    <row r="20" spans="3:12" ht="15.75" thickTop="1">
      <c r="C20" s="367"/>
      <c r="D20" s="209"/>
      <c r="E20" s="209"/>
      <c r="F20" s="368"/>
      <c r="G20" s="209"/>
      <c r="H20" s="209"/>
      <c r="I20" s="369"/>
      <c r="J20" s="370">
        <f>SUM(J6:J19)</f>
        <v>17787</v>
      </c>
      <c r="K20" s="371"/>
    </row>
    <row r="21" spans="3:12">
      <c r="C21" s="359">
        <v>15</v>
      </c>
      <c r="D21" s="176" t="s">
        <v>310</v>
      </c>
      <c r="E21" s="176" t="s">
        <v>323</v>
      </c>
      <c r="F21" s="172" t="s">
        <v>527</v>
      </c>
      <c r="G21" s="176" t="s">
        <v>341</v>
      </c>
      <c r="H21" s="176">
        <v>443</v>
      </c>
      <c r="I21" s="177" t="s">
        <v>311</v>
      </c>
      <c r="J21" s="571">
        <v>1146</v>
      </c>
      <c r="K21" s="174"/>
    </row>
    <row r="22" spans="3:12">
      <c r="C22" s="173">
        <v>16</v>
      </c>
      <c r="D22" s="172" t="s">
        <v>339</v>
      </c>
      <c r="E22" s="172" t="s">
        <v>309</v>
      </c>
      <c r="F22" s="172" t="s">
        <v>338</v>
      </c>
      <c r="G22" s="176" t="s">
        <v>337</v>
      </c>
      <c r="H22" s="176">
        <v>443</v>
      </c>
      <c r="I22" s="177"/>
      <c r="J22" s="571">
        <v>1146</v>
      </c>
      <c r="K22" s="170"/>
    </row>
    <row r="23" spans="3:12">
      <c r="C23" s="173">
        <v>17</v>
      </c>
      <c r="D23" s="176" t="s">
        <v>328</v>
      </c>
      <c r="E23" s="176" t="s">
        <v>327</v>
      </c>
      <c r="F23" s="172" t="s">
        <v>326</v>
      </c>
      <c r="G23" s="176" t="s">
        <v>325</v>
      </c>
      <c r="H23" s="176">
        <v>443</v>
      </c>
      <c r="I23" s="175"/>
      <c r="J23" s="571">
        <v>1146</v>
      </c>
      <c r="K23" s="174"/>
    </row>
    <row r="24" spans="3:12">
      <c r="C24" s="173">
        <v>18</v>
      </c>
      <c r="D24" s="176" t="s">
        <v>626</v>
      </c>
      <c r="E24" s="176" t="s">
        <v>298</v>
      </c>
      <c r="F24" s="172" t="s">
        <v>627</v>
      </c>
      <c r="G24" s="176" t="s">
        <v>322</v>
      </c>
      <c r="H24" s="176">
        <v>443</v>
      </c>
      <c r="I24" s="171"/>
      <c r="J24" s="571">
        <v>1146</v>
      </c>
      <c r="K24" s="170"/>
      <c r="L24" s="274" t="s">
        <v>628</v>
      </c>
    </row>
    <row r="25" spans="3:12">
      <c r="C25" s="359">
        <v>19</v>
      </c>
      <c r="D25" s="176" t="s">
        <v>316</v>
      </c>
      <c r="E25" s="176" t="s">
        <v>315</v>
      </c>
      <c r="F25" s="172" t="s">
        <v>314</v>
      </c>
      <c r="G25" s="176" t="s">
        <v>313</v>
      </c>
      <c r="H25" s="176">
        <v>443</v>
      </c>
      <c r="I25" s="175"/>
      <c r="J25" s="571">
        <v>1146</v>
      </c>
      <c r="K25" s="170"/>
    </row>
    <row r="26" spans="3:12">
      <c r="C26" s="359">
        <v>20</v>
      </c>
      <c r="D26" s="360" t="s">
        <v>310</v>
      </c>
      <c r="E26" s="360" t="s">
        <v>575</v>
      </c>
      <c r="F26" s="360" t="s">
        <v>587</v>
      </c>
      <c r="G26" s="176" t="s">
        <v>308</v>
      </c>
      <c r="H26" s="176">
        <v>443</v>
      </c>
      <c r="I26" s="175"/>
      <c r="J26" s="571">
        <v>1146</v>
      </c>
      <c r="K26" s="170"/>
    </row>
    <row r="27" spans="3:12" ht="15.75" thickBot="1">
      <c r="C27" s="379">
        <v>21</v>
      </c>
      <c r="D27" s="373" t="s">
        <v>307</v>
      </c>
      <c r="E27" s="373" t="s">
        <v>306</v>
      </c>
      <c r="F27" s="372" t="s">
        <v>305</v>
      </c>
      <c r="G27" s="373" t="s">
        <v>304</v>
      </c>
      <c r="H27" s="373">
        <v>443</v>
      </c>
      <c r="I27" s="380"/>
      <c r="J27" s="571">
        <v>1146</v>
      </c>
      <c r="K27" s="381"/>
      <c r="L27" s="289"/>
    </row>
    <row r="28" spans="3:12" ht="15.75" thickTop="1">
      <c r="C28" s="367"/>
      <c r="D28" s="209"/>
      <c r="E28" s="209"/>
      <c r="F28" s="368"/>
      <c r="G28" s="209"/>
      <c r="H28" s="209"/>
      <c r="I28" s="378"/>
      <c r="J28" s="382">
        <f>SUM(J21:J27)</f>
        <v>8022</v>
      </c>
      <c r="K28" s="376"/>
      <c r="L28" s="289"/>
    </row>
    <row r="29" spans="3:12">
      <c r="C29" s="367"/>
      <c r="D29" s="209"/>
      <c r="E29" s="209"/>
      <c r="F29" s="368"/>
      <c r="G29" s="209"/>
      <c r="H29" s="209"/>
      <c r="I29" s="378"/>
      <c r="J29" s="377"/>
      <c r="K29" s="376"/>
      <c r="L29" s="289"/>
    </row>
    <row r="30" spans="3:12">
      <c r="C30" s="388">
        <v>22</v>
      </c>
      <c r="D30" s="176" t="s">
        <v>299</v>
      </c>
      <c r="E30" s="176" t="s">
        <v>336</v>
      </c>
      <c r="F30" s="172" t="s">
        <v>335</v>
      </c>
      <c r="G30" s="176" t="s">
        <v>334</v>
      </c>
      <c r="H30" s="172">
        <v>445</v>
      </c>
      <c r="I30" s="171" t="s">
        <v>548</v>
      </c>
      <c r="J30" s="265">
        <v>1136</v>
      </c>
      <c r="K30" s="170"/>
    </row>
    <row r="31" spans="3:12">
      <c r="C31" s="374"/>
      <c r="D31" s="209"/>
      <c r="E31" s="209"/>
      <c r="F31" s="368"/>
      <c r="G31" s="209"/>
      <c r="H31" s="368"/>
      <c r="I31" s="375"/>
      <c r="J31" s="382">
        <f>SUM(J30)</f>
        <v>1136</v>
      </c>
      <c r="K31" s="376"/>
    </row>
    <row r="32" spans="3:12" ht="11.25" customHeight="1">
      <c r="C32" s="374"/>
      <c r="D32" s="209"/>
      <c r="E32" s="209"/>
      <c r="F32" s="368"/>
      <c r="G32" s="209"/>
      <c r="H32" s="368"/>
      <c r="I32" s="375"/>
      <c r="J32" s="383"/>
      <c r="K32" s="376"/>
    </row>
    <row r="33" spans="3:11" ht="15.75" thickBot="1">
      <c r="C33" s="240"/>
      <c r="D33" s="240"/>
      <c r="E33" s="240"/>
      <c r="F33" s="240"/>
      <c r="G33" s="240"/>
      <c r="H33" s="384"/>
      <c r="I33" s="384"/>
      <c r="J33" s="385">
        <f>J20+J28+J31</f>
        <v>26945</v>
      </c>
      <c r="K33" s="386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I23" sqref="I23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32" t="s">
        <v>805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4"/>
    </row>
    <row r="2" spans="2:16" ht="15.75">
      <c r="B2" s="735" t="s">
        <v>392</v>
      </c>
      <c r="C2" s="735"/>
      <c r="D2" s="735"/>
      <c r="E2" s="183" t="s">
        <v>150</v>
      </c>
      <c r="F2" s="184"/>
      <c r="G2" s="184"/>
      <c r="H2" s="184"/>
      <c r="I2" s="184"/>
      <c r="J2" s="184"/>
      <c r="K2" s="185"/>
      <c r="L2" s="303"/>
      <c r="M2" s="184"/>
      <c r="N2" s="184"/>
    </row>
    <row r="3" spans="2:16" ht="15.75">
      <c r="B3" s="389" t="s">
        <v>151</v>
      </c>
      <c r="C3" s="186"/>
      <c r="D3" s="186"/>
      <c r="E3" s="186"/>
      <c r="F3" s="186"/>
      <c r="G3" s="187" t="s">
        <v>28</v>
      </c>
      <c r="H3" s="736" t="s">
        <v>55</v>
      </c>
      <c r="I3" s="737"/>
      <c r="J3" s="188"/>
      <c r="K3" s="189" t="s">
        <v>56</v>
      </c>
      <c r="L3" s="190"/>
      <c r="M3" s="294"/>
      <c r="N3" s="294"/>
    </row>
    <row r="4" spans="2:16" ht="15.75" customHeight="1">
      <c r="B4" s="390" t="s">
        <v>152</v>
      </c>
      <c r="C4" s="738" t="s">
        <v>47</v>
      </c>
      <c r="D4" s="739"/>
      <c r="E4" s="739"/>
      <c r="F4" s="191"/>
      <c r="G4" s="422"/>
      <c r="H4" s="399" t="s">
        <v>3</v>
      </c>
      <c r="I4" s="400" t="s">
        <v>153</v>
      </c>
      <c r="J4" s="401" t="s">
        <v>62</v>
      </c>
      <c r="K4" s="402" t="s">
        <v>393</v>
      </c>
      <c r="L4" s="403" t="s">
        <v>154</v>
      </c>
      <c r="M4" s="297" t="s">
        <v>593</v>
      </c>
      <c r="N4" s="295"/>
    </row>
    <row r="5" spans="2:16" ht="15.75">
      <c r="B5" s="391" t="s">
        <v>155</v>
      </c>
      <c r="C5" s="392" t="s">
        <v>48</v>
      </c>
      <c r="D5" s="393" t="s">
        <v>49</v>
      </c>
      <c r="E5" s="393" t="s">
        <v>50</v>
      </c>
      <c r="F5" s="393" t="s">
        <v>51</v>
      </c>
      <c r="G5" s="394" t="s">
        <v>52</v>
      </c>
      <c r="H5" s="395" t="s">
        <v>394</v>
      </c>
      <c r="I5" s="396" t="s">
        <v>159</v>
      </c>
      <c r="J5" s="397" t="s">
        <v>160</v>
      </c>
      <c r="K5" s="398" t="s">
        <v>394</v>
      </c>
      <c r="L5" s="393" t="s">
        <v>162</v>
      </c>
      <c r="M5" s="296" t="s">
        <v>592</v>
      </c>
      <c r="N5" s="296" t="s">
        <v>513</v>
      </c>
    </row>
    <row r="6" spans="2:16">
      <c r="B6" s="192" t="s">
        <v>395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537</v>
      </c>
      <c r="D7" s="172" t="s">
        <v>601</v>
      </c>
      <c r="E7" s="172" t="s">
        <v>602</v>
      </c>
      <c r="F7" s="263" t="s">
        <v>677</v>
      </c>
      <c r="G7" s="176"/>
      <c r="H7" s="265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1"/>
      <c r="N7" s="196">
        <f t="shared" ref="N7:N10" si="0">SUM(L7-M7)</f>
        <v>5424.84</v>
      </c>
      <c r="O7" s="197"/>
    </row>
    <row r="8" spans="2:16" ht="36.75">
      <c r="B8" s="176">
        <v>2</v>
      </c>
      <c r="C8" s="176" t="s">
        <v>199</v>
      </c>
      <c r="D8" s="176" t="s">
        <v>396</v>
      </c>
      <c r="E8" s="176" t="s">
        <v>397</v>
      </c>
      <c r="F8" s="307" t="s">
        <v>752</v>
      </c>
      <c r="G8" s="176"/>
      <c r="H8" s="265">
        <v>5480.6</v>
      </c>
      <c r="I8" s="265">
        <f>H8</f>
        <v>5480.6</v>
      </c>
      <c r="J8" s="195"/>
      <c r="K8" s="265">
        <v>55.76</v>
      </c>
      <c r="L8" s="196">
        <f>I8+J8-K8</f>
        <v>5424.84</v>
      </c>
      <c r="M8" s="293"/>
      <c r="N8" s="292">
        <f t="shared" si="0"/>
        <v>5424.84</v>
      </c>
      <c r="O8" s="197"/>
    </row>
    <row r="9" spans="2:16">
      <c r="B9" s="198">
        <v>3</v>
      </c>
      <c r="C9" s="198" t="s">
        <v>86</v>
      </c>
      <c r="D9" s="176" t="s">
        <v>87</v>
      </c>
      <c r="E9" s="176" t="s">
        <v>398</v>
      </c>
      <c r="F9" s="176" t="s">
        <v>399</v>
      </c>
      <c r="G9" s="176" t="s">
        <v>400</v>
      </c>
      <c r="H9" s="265">
        <v>2435.5500000000002</v>
      </c>
      <c r="I9" s="265">
        <f>H9</f>
        <v>2435.5500000000002</v>
      </c>
      <c r="J9" s="195">
        <v>276.87</v>
      </c>
      <c r="K9" s="265"/>
      <c r="L9" s="196">
        <f t="shared" ref="L9" si="1">I9+J9</f>
        <v>2712.42</v>
      </c>
      <c r="M9" s="293"/>
      <c r="N9" s="292">
        <f t="shared" si="0"/>
        <v>2712.42</v>
      </c>
      <c r="O9" s="197"/>
    </row>
    <row r="10" spans="2:16" ht="15.75" thickBot="1">
      <c r="B10" s="198"/>
      <c r="C10" s="176"/>
      <c r="D10" s="176"/>
      <c r="E10" s="176"/>
      <c r="F10" s="307"/>
      <c r="G10" s="176"/>
      <c r="H10" s="265"/>
      <c r="I10" s="265"/>
      <c r="J10" s="195"/>
      <c r="K10" s="265"/>
      <c r="L10" s="406"/>
      <c r="M10" s="302"/>
      <c r="N10" s="298">
        <f t="shared" si="0"/>
        <v>0</v>
      </c>
      <c r="O10" s="275"/>
      <c r="P10" t="s">
        <v>635</v>
      </c>
    </row>
    <row r="11" spans="2:16" ht="15.75" thickBot="1">
      <c r="B11" s="199" t="s">
        <v>401</v>
      </c>
      <c r="C11" s="200"/>
      <c r="D11" s="201"/>
      <c r="E11" s="201"/>
      <c r="F11" s="201"/>
      <c r="G11" s="201"/>
      <c r="H11" s="202">
        <f>SUM(H7:H10)</f>
        <v>13396.75</v>
      </c>
      <c r="I11" s="202">
        <f>SUM(I7:I10)</f>
        <v>13396.75</v>
      </c>
      <c r="J11" s="261">
        <f>SUM(J7:J10)</f>
        <v>276.87</v>
      </c>
      <c r="K11" s="291">
        <f>SUM(K7:K9)</f>
        <v>111.52</v>
      </c>
      <c r="L11" s="299">
        <f>SUM(L7:L10)</f>
        <v>13562.1</v>
      </c>
      <c r="M11" s="299">
        <f>SUM(M7:M10)</f>
        <v>0</v>
      </c>
      <c r="N11" s="300">
        <f>SUM(N7:N10)</f>
        <v>13562.1</v>
      </c>
    </row>
    <row r="12" spans="2:16">
      <c r="B12" s="203"/>
      <c r="C12" s="204"/>
      <c r="D12" s="201"/>
      <c r="E12" s="201"/>
      <c r="F12" s="201"/>
      <c r="G12" s="201"/>
      <c r="H12" s="205"/>
      <c r="I12" s="205"/>
      <c r="J12" s="201"/>
      <c r="K12" s="206"/>
      <c r="L12" s="205"/>
      <c r="M12" s="205"/>
      <c r="N12" s="205"/>
    </row>
    <row r="13" spans="2:16">
      <c r="B13" s="203"/>
      <c r="C13" s="204"/>
      <c r="D13" s="201"/>
      <c r="E13" s="201"/>
      <c r="F13" s="201"/>
      <c r="G13" s="201"/>
      <c r="H13" s="205"/>
      <c r="I13" s="205"/>
      <c r="J13" s="201"/>
      <c r="K13" s="206"/>
      <c r="L13" s="205"/>
      <c r="M13" s="205"/>
      <c r="N13" s="205"/>
    </row>
    <row r="14" spans="2:16">
      <c r="C14" s="207"/>
      <c r="D14" s="207"/>
      <c r="F14" s="740"/>
      <c r="G14" s="740"/>
      <c r="I14" s="740"/>
      <c r="J14" s="740"/>
      <c r="K14" s="740"/>
    </row>
    <row r="15" spans="2:16">
      <c r="C15" s="208" t="s">
        <v>757</v>
      </c>
      <c r="D15" s="208"/>
      <c r="E15" s="208"/>
      <c r="F15" s="630" t="s">
        <v>808</v>
      </c>
      <c r="G15" s="208"/>
      <c r="H15" s="208"/>
      <c r="I15" s="631" t="s">
        <v>809</v>
      </c>
      <c r="J15" s="629"/>
      <c r="K15" s="210"/>
    </row>
    <row r="16" spans="2:16">
      <c r="C16" s="208" t="s">
        <v>806</v>
      </c>
      <c r="D16" s="208"/>
      <c r="E16" s="208"/>
      <c r="F16" s="208" t="s">
        <v>403</v>
      </c>
      <c r="G16" s="208"/>
      <c r="H16" s="208"/>
      <c r="I16" s="208" t="s">
        <v>404</v>
      </c>
      <c r="J16" s="209"/>
      <c r="K16" s="209"/>
      <c r="L16" s="219"/>
      <c r="M16" s="219"/>
      <c r="N16" s="219"/>
    </row>
    <row r="17" spans="3:14">
      <c r="C17" s="208"/>
      <c r="D17" s="208"/>
      <c r="E17" s="208"/>
      <c r="F17" s="208"/>
      <c r="G17" s="208"/>
      <c r="H17" s="208"/>
      <c r="I17" s="208"/>
      <c r="J17" s="209"/>
      <c r="K17" s="209"/>
      <c r="L17" s="219"/>
      <c r="M17" s="219"/>
      <c r="N17" s="219"/>
    </row>
    <row r="18" spans="3:14">
      <c r="L18" s="219">
        <f>I11+J11-K11</f>
        <v>13562.1</v>
      </c>
      <c r="M18" s="219"/>
      <c r="N18" s="219">
        <f>L11-M11</f>
        <v>13562.1</v>
      </c>
    </row>
    <row r="19" spans="3:14">
      <c r="L19" s="219">
        <f>L11-L18</f>
        <v>0</v>
      </c>
      <c r="M19" s="219"/>
      <c r="N19" s="219"/>
    </row>
    <row r="26" spans="3:14">
      <c r="C26" s="588" t="s">
        <v>767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716" t="s">
        <v>443</v>
      </c>
      <c r="D2" s="716"/>
      <c r="E2" s="716"/>
      <c r="G2" s="212" t="s">
        <v>444</v>
      </c>
    </row>
    <row r="3" spans="1:12" ht="15" customHeight="1">
      <c r="A3" s="212" t="s">
        <v>694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716" t="s">
        <v>442</v>
      </c>
      <c r="D4" s="716"/>
      <c r="E4" s="716"/>
      <c r="G4" s="287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441</v>
      </c>
      <c r="B7" s="232" t="s">
        <v>694</v>
      </c>
      <c r="C7" s="232" t="s">
        <v>695</v>
      </c>
      <c r="D7" s="212"/>
      <c r="E7" s="231" t="s">
        <v>438</v>
      </c>
      <c r="F7" s="231" t="s">
        <v>439</v>
      </c>
      <c r="G7" s="231" t="s">
        <v>440</v>
      </c>
      <c r="H7" s="244" t="s">
        <v>426</v>
      </c>
      <c r="J7" s="244" t="s">
        <v>524</v>
      </c>
    </row>
    <row r="8" spans="1:12">
      <c r="A8" s="223" t="s">
        <v>421</v>
      </c>
      <c r="B8" s="417">
        <f>C8*2</f>
        <v>247400</v>
      </c>
      <c r="C8" s="248">
        <f>REGIDORES!G18</f>
        <v>123700</v>
      </c>
      <c r="D8" s="217"/>
      <c r="E8" s="226">
        <f t="shared" ref="E8:E13" si="0">C8</f>
        <v>123700</v>
      </c>
      <c r="F8" s="227"/>
      <c r="G8" s="227"/>
    </row>
    <row r="9" spans="1:12">
      <c r="A9" s="223" t="s">
        <v>422</v>
      </c>
      <c r="B9" s="417">
        <f t="shared" ref="B9:B13" si="1">C9*2</f>
        <v>574082.4</v>
      </c>
      <c r="C9" s="248">
        <f>BASE!H188</f>
        <v>287041.2</v>
      </c>
      <c r="D9" s="217"/>
      <c r="E9" s="219">
        <f t="shared" si="0"/>
        <v>287041.2</v>
      </c>
    </row>
    <row r="10" spans="1:12">
      <c r="A10" s="223" t="s">
        <v>423</v>
      </c>
      <c r="B10" s="417">
        <f t="shared" si="1"/>
        <v>0</v>
      </c>
      <c r="C10" s="248"/>
      <c r="D10" s="217"/>
      <c r="E10" s="219">
        <f t="shared" si="0"/>
        <v>0</v>
      </c>
    </row>
    <row r="11" spans="1:12">
      <c r="A11" s="223" t="s">
        <v>424</v>
      </c>
      <c r="B11" s="417">
        <f t="shared" si="1"/>
        <v>0</v>
      </c>
      <c r="C11" s="248"/>
      <c r="D11" s="217"/>
      <c r="E11" s="219">
        <f t="shared" si="0"/>
        <v>0</v>
      </c>
    </row>
    <row r="12" spans="1:12">
      <c r="A12" s="223" t="s">
        <v>425</v>
      </c>
      <c r="B12" s="417">
        <f t="shared" si="1"/>
        <v>167676.91999999998</v>
      </c>
      <c r="C12" s="248">
        <f>'NOMINA TRAB.EVENTUALES'!M35</f>
        <v>83838.459999999992</v>
      </c>
      <c r="D12" s="217"/>
      <c r="E12" s="219">
        <f t="shared" si="0"/>
        <v>83838.459999999992</v>
      </c>
    </row>
    <row r="13" spans="1:12">
      <c r="A13" s="223" t="s">
        <v>426</v>
      </c>
      <c r="B13" s="417">
        <f t="shared" si="1"/>
        <v>363285.98</v>
      </c>
      <c r="C13" s="248">
        <f>'NOMINA ORD. DE PAGO QUINCENAL'!I69</f>
        <v>181642.99</v>
      </c>
      <c r="D13" s="224"/>
      <c r="E13" s="220">
        <f t="shared" si="0"/>
        <v>181642.99</v>
      </c>
      <c r="J13" s="233"/>
    </row>
    <row r="14" spans="1:12">
      <c r="A14" s="223" t="s">
        <v>427</v>
      </c>
      <c r="B14" s="417">
        <f>C14</f>
        <v>26945</v>
      </c>
      <c r="C14" s="248">
        <f>'PAGO TRAB.MENSUALES'!J33</f>
        <v>26945</v>
      </c>
      <c r="D14" s="217"/>
      <c r="F14" s="219">
        <f>C14</f>
        <v>26945</v>
      </c>
    </row>
    <row r="15" spans="1:12">
      <c r="A15" s="223" t="s">
        <v>428</v>
      </c>
      <c r="B15" s="417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351</v>
      </c>
      <c r="B16" s="417">
        <f>C16*2</f>
        <v>47214</v>
      </c>
      <c r="C16" s="248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429</v>
      </c>
      <c r="B17" s="417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0" t="e">
        <f>#REF!</f>
        <v>#REF!</v>
      </c>
      <c r="L17" s="233">
        <v>214092</v>
      </c>
    </row>
    <row r="18" spans="1:12" ht="15.75" thickTop="1">
      <c r="A18" s="223"/>
      <c r="B18" s="418" t="e">
        <f>SUM(B8:B17)</f>
        <v>#REF!</v>
      </c>
      <c r="C18" s="221" t="e">
        <f>SUM(C8:C17)</f>
        <v>#REF!</v>
      </c>
      <c r="D18" s="225"/>
      <c r="E18" s="222">
        <f>SUM(E8:E17)</f>
        <v>676222.65</v>
      </c>
      <c r="F18" s="222" t="e">
        <f>SUM(F8:F17)</f>
        <v>#REF!</v>
      </c>
      <c r="G18" s="222">
        <f>SUM(G8:G17)</f>
        <v>5015.1000000000004</v>
      </c>
      <c r="H18" s="311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522</v>
      </c>
      <c r="E22" s="219" t="e">
        <f>E8+E9+E12+E13+F14+G15+H15+E16+F17</f>
        <v>#REF!</v>
      </c>
      <c r="L22" s="233">
        <v>23990</v>
      </c>
    </row>
    <row r="23" spans="1:12">
      <c r="C23" s="207" t="s">
        <v>523</v>
      </c>
      <c r="D23" s="264"/>
      <c r="E23" s="264">
        <f>E10+E11</f>
        <v>0</v>
      </c>
      <c r="L23" s="233">
        <v>25762.080000000002</v>
      </c>
    </row>
    <row r="24" spans="1:12">
      <c r="D24" s="219"/>
      <c r="E24" s="309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4"/>
    </row>
    <row r="29" spans="1:12">
      <c r="E29" s="219"/>
    </row>
    <row r="31" spans="1:12">
      <c r="A31" s="213"/>
      <c r="E31" s="245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2"/>
  <sheetViews>
    <sheetView topLeftCell="A16" workbookViewId="0">
      <selection activeCell="C23" sqref="C23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1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52" t="s">
        <v>28</v>
      </c>
      <c r="D1" s="652"/>
      <c r="E1" s="652"/>
      <c r="F1" s="653"/>
      <c r="G1" s="653"/>
      <c r="H1" s="653"/>
      <c r="I1" s="653"/>
      <c r="J1" s="151"/>
    </row>
    <row r="2" spans="1:18" ht="19.5">
      <c r="B2" s="658" t="s">
        <v>206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P2" s="259">
        <f t="shared" ref="P2:P64" si="0">M2-O2</f>
        <v>0</v>
      </c>
    </row>
    <row r="3" spans="1:18" ht="15">
      <c r="B3" s="659" t="s">
        <v>786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P3" s="259">
        <f t="shared" si="0"/>
        <v>0</v>
      </c>
    </row>
    <row r="4" spans="1:18" ht="12.75">
      <c r="B4" s="16"/>
      <c r="C4" s="18" t="s">
        <v>0</v>
      </c>
      <c r="D4" s="18"/>
      <c r="E4" s="312"/>
      <c r="F4" s="3"/>
      <c r="G4" s="3"/>
      <c r="H4" s="3"/>
      <c r="I4" s="3"/>
      <c r="J4" s="3"/>
      <c r="K4" s="3"/>
      <c r="L4" s="3"/>
      <c r="M4" s="3"/>
      <c r="N4" s="3"/>
      <c r="P4" s="259">
        <f t="shared" si="0"/>
        <v>0</v>
      </c>
    </row>
    <row r="5" spans="1:18" ht="32.25" customHeight="1">
      <c r="B5" s="513" t="s">
        <v>1</v>
      </c>
      <c r="C5" s="454" t="s">
        <v>2</v>
      </c>
      <c r="D5" s="454" t="s">
        <v>219</v>
      </c>
      <c r="E5" s="455"/>
      <c r="F5" s="454" t="s">
        <v>3</v>
      </c>
      <c r="G5" s="454" t="s">
        <v>4</v>
      </c>
      <c r="H5" s="454" t="s">
        <v>5</v>
      </c>
      <c r="I5" s="454" t="s">
        <v>629</v>
      </c>
      <c r="J5" s="454" t="s">
        <v>560</v>
      </c>
      <c r="K5" s="454" t="s">
        <v>43</v>
      </c>
      <c r="L5" s="454" t="s">
        <v>6</v>
      </c>
      <c r="M5" s="454" t="s">
        <v>7</v>
      </c>
      <c r="N5" s="454" t="s">
        <v>29</v>
      </c>
      <c r="P5" s="259"/>
    </row>
    <row r="6" spans="1:18" ht="18" customHeight="1">
      <c r="B6" s="19" t="s">
        <v>10</v>
      </c>
      <c r="C6" s="3"/>
      <c r="D6" s="3"/>
      <c r="E6" s="313"/>
      <c r="F6" s="3"/>
      <c r="G6" s="3"/>
      <c r="H6" s="3"/>
      <c r="I6" s="3"/>
      <c r="J6" s="3"/>
      <c r="K6" s="3"/>
      <c r="L6" s="3"/>
      <c r="M6" s="3"/>
      <c r="N6" s="3"/>
      <c r="P6" s="259"/>
    </row>
    <row r="7" spans="1:18" ht="30" customHeight="1">
      <c r="B7" s="16" t="s">
        <v>260</v>
      </c>
      <c r="C7" s="3" t="s">
        <v>585</v>
      </c>
      <c r="D7" s="8" t="s">
        <v>222</v>
      </c>
      <c r="E7" s="314">
        <f>9692/2</f>
        <v>4846</v>
      </c>
      <c r="F7" s="10">
        <v>5040</v>
      </c>
      <c r="G7" s="10">
        <v>0</v>
      </c>
      <c r="H7" s="10">
        <f>F7</f>
        <v>5040</v>
      </c>
      <c r="I7" s="449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59"/>
      <c r="R7" s="15">
        <v>26270.560000000001</v>
      </c>
    </row>
    <row r="8" spans="1:18" s="577" customFormat="1" ht="30" customHeight="1">
      <c r="A8" s="15"/>
      <c r="B8" s="16" t="s">
        <v>261</v>
      </c>
      <c r="C8" s="3" t="s">
        <v>753</v>
      </c>
      <c r="D8" s="8" t="s">
        <v>223</v>
      </c>
      <c r="E8" s="314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756</v>
      </c>
      <c r="P8" s="259"/>
      <c r="Q8" s="15"/>
      <c r="R8" s="15">
        <v>8802</v>
      </c>
    </row>
    <row r="9" spans="1:18" s="21" customFormat="1" ht="24.95" customHeight="1" thickBot="1">
      <c r="B9" s="532" t="s">
        <v>9</v>
      </c>
      <c r="C9" s="533"/>
      <c r="D9" s="533"/>
      <c r="E9" s="534"/>
      <c r="F9" s="561">
        <f t="shared" ref="F9:M9" si="2">SUM(F7:F8)</f>
        <v>31567</v>
      </c>
      <c r="G9" s="561">
        <f t="shared" si="2"/>
        <v>0</v>
      </c>
      <c r="H9" s="561">
        <f t="shared" si="2"/>
        <v>31567</v>
      </c>
      <c r="I9" s="561">
        <f t="shared" si="2"/>
        <v>0</v>
      </c>
      <c r="J9" s="600">
        <f>SUM(J7:J8)</f>
        <v>0</v>
      </c>
      <c r="K9" s="561">
        <f t="shared" si="2"/>
        <v>5990</v>
      </c>
      <c r="L9" s="561">
        <f t="shared" si="2"/>
        <v>5990</v>
      </c>
      <c r="M9" s="537">
        <f t="shared" si="2"/>
        <v>25577</v>
      </c>
      <c r="N9" s="559"/>
      <c r="O9" s="256">
        <f>H9+I9-L9</f>
        <v>25577</v>
      </c>
      <c r="P9" s="259">
        <f t="shared" si="0"/>
        <v>0</v>
      </c>
      <c r="R9" s="21">
        <v>4758.59</v>
      </c>
    </row>
    <row r="10" spans="1:18" ht="18" customHeight="1" thickTop="1">
      <c r="B10" s="528"/>
      <c r="C10" s="38"/>
      <c r="D10" s="38"/>
      <c r="E10" s="319"/>
      <c r="F10" s="39"/>
      <c r="G10" s="39"/>
      <c r="H10" s="39"/>
      <c r="I10" s="39"/>
      <c r="J10" s="39"/>
      <c r="K10" s="39"/>
      <c r="L10" s="39"/>
      <c r="M10" s="40" t="s">
        <v>46</v>
      </c>
      <c r="N10" s="38"/>
      <c r="P10" s="259"/>
      <c r="R10" s="15">
        <v>16890.93</v>
      </c>
    </row>
    <row r="11" spans="1:18" ht="18" customHeight="1">
      <c r="B11" s="526" t="s">
        <v>11</v>
      </c>
      <c r="C11" s="290"/>
      <c r="D11" s="290"/>
      <c r="E11" s="527"/>
      <c r="F11" s="290"/>
      <c r="G11" s="290"/>
      <c r="H11" s="290"/>
      <c r="I11" s="290"/>
      <c r="J11" s="290"/>
      <c r="K11" s="290"/>
      <c r="L11" s="290"/>
      <c r="M11" s="290"/>
      <c r="N11" s="290"/>
      <c r="P11" s="259"/>
      <c r="R11" s="15">
        <v>7669.53</v>
      </c>
    </row>
    <row r="12" spans="1:18" ht="30" customHeight="1">
      <c r="B12" s="16" t="s">
        <v>262</v>
      </c>
      <c r="C12" s="3" t="s">
        <v>31</v>
      </c>
      <c r="D12" s="8" t="s">
        <v>539</v>
      </c>
      <c r="E12" s="314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59"/>
      <c r="R12" s="15">
        <v>7335.92</v>
      </c>
    </row>
    <row r="13" spans="1:18" ht="30" customHeight="1">
      <c r="B13" s="16" t="s">
        <v>263</v>
      </c>
      <c r="C13" s="249" t="s">
        <v>528</v>
      </c>
      <c r="D13" s="8" t="s">
        <v>224</v>
      </c>
      <c r="E13" s="314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59"/>
    </row>
    <row r="14" spans="1:18" s="21" customFormat="1" ht="18" customHeight="1" thickBot="1">
      <c r="B14" s="519" t="s">
        <v>9</v>
      </c>
      <c r="C14" s="533"/>
      <c r="D14" s="533"/>
      <c r="E14" s="534"/>
      <c r="F14" s="561">
        <f>SUM(F12:F13)</f>
        <v>10509</v>
      </c>
      <c r="G14" s="561">
        <f t="shared" ref="G14" si="3">SUM(G12:G13)</f>
        <v>0</v>
      </c>
      <c r="H14" s="561">
        <f t="shared" ref="H14:M14" si="4">SUM(H12:H13)</f>
        <v>10509</v>
      </c>
      <c r="I14" s="561">
        <f t="shared" si="4"/>
        <v>24.04</v>
      </c>
      <c r="J14" s="561">
        <f t="shared" si="4"/>
        <v>0</v>
      </c>
      <c r="K14" s="561">
        <f t="shared" si="4"/>
        <v>1014</v>
      </c>
      <c r="L14" s="561">
        <f t="shared" si="4"/>
        <v>1014</v>
      </c>
      <c r="M14" s="537">
        <f t="shared" si="4"/>
        <v>9519.0400000000009</v>
      </c>
      <c r="N14" s="559"/>
      <c r="O14" s="256">
        <f>H14+I14-L14</f>
        <v>9519.0400000000009</v>
      </c>
      <c r="P14" s="259">
        <f t="shared" si="0"/>
        <v>0</v>
      </c>
    </row>
    <row r="15" spans="1:18" ht="18" customHeight="1" thickTop="1">
      <c r="B15" s="529"/>
      <c r="C15" s="38"/>
      <c r="E15" s="317"/>
      <c r="F15" s="12"/>
      <c r="G15" s="12"/>
      <c r="H15" s="12"/>
      <c r="I15" s="13"/>
      <c r="J15" s="13"/>
      <c r="K15" s="12"/>
      <c r="L15" s="12"/>
      <c r="M15" s="14" t="s">
        <v>46</v>
      </c>
      <c r="O15" s="255"/>
      <c r="P15" s="259"/>
    </row>
    <row r="16" spans="1:18" ht="18" customHeight="1">
      <c r="B16" s="526" t="s">
        <v>12</v>
      </c>
      <c r="C16" s="530"/>
      <c r="D16" s="531"/>
      <c r="E16" s="525"/>
      <c r="F16" s="524"/>
      <c r="G16" s="524"/>
      <c r="H16" s="524"/>
      <c r="I16" s="524"/>
      <c r="J16" s="524"/>
      <c r="K16" s="524"/>
      <c r="L16" s="524"/>
      <c r="M16" s="524"/>
      <c r="N16" s="32"/>
      <c r="P16" s="259"/>
    </row>
    <row r="17" spans="2:16" ht="30" customHeight="1">
      <c r="B17" s="16" t="s">
        <v>264</v>
      </c>
      <c r="C17" s="3" t="s">
        <v>42</v>
      </c>
      <c r="D17" s="520" t="s">
        <v>225</v>
      </c>
      <c r="E17" s="521">
        <f>10942/2</f>
        <v>5471</v>
      </c>
      <c r="F17" s="522">
        <v>5690</v>
      </c>
      <c r="G17" s="522">
        <v>0</v>
      </c>
      <c r="H17" s="522">
        <f>F17</f>
        <v>5690</v>
      </c>
      <c r="I17" s="522"/>
      <c r="J17" s="522"/>
      <c r="K17" s="522">
        <v>529</v>
      </c>
      <c r="L17" s="522">
        <f>K17</f>
        <v>529</v>
      </c>
      <c r="M17" s="522">
        <f>H17+I17-L17-J17</f>
        <v>5161</v>
      </c>
      <c r="N17" s="290"/>
      <c r="P17" s="259"/>
    </row>
    <row r="18" spans="2:16" s="21" customFormat="1" ht="18" customHeight="1" thickBot="1">
      <c r="B18" s="20" t="s">
        <v>9</v>
      </c>
      <c r="C18" s="533"/>
      <c r="D18" s="533"/>
      <c r="E18" s="534"/>
      <c r="F18" s="561">
        <f>SUM(F17)</f>
        <v>5690</v>
      </c>
      <c r="G18" s="561">
        <f t="shared" ref="G18:L18" si="5">SUM(G17)</f>
        <v>0</v>
      </c>
      <c r="H18" s="561">
        <f>SUM(H17)</f>
        <v>5690</v>
      </c>
      <c r="I18" s="561">
        <f t="shared" si="5"/>
        <v>0</v>
      </c>
      <c r="J18" s="561">
        <f>SUM(J17)</f>
        <v>0</v>
      </c>
      <c r="K18" s="561">
        <f>SUM(K17)</f>
        <v>529</v>
      </c>
      <c r="L18" s="561">
        <f t="shared" si="5"/>
        <v>529</v>
      </c>
      <c r="M18" s="537">
        <f>SUM(M17)</f>
        <v>5161</v>
      </c>
      <c r="N18" s="559"/>
      <c r="O18" s="256">
        <f>H18+I18-L18</f>
        <v>5161</v>
      </c>
      <c r="P18" s="259">
        <f t="shared" si="0"/>
        <v>0</v>
      </c>
    </row>
    <row r="19" spans="2:16" ht="18" customHeight="1" thickTop="1">
      <c r="C19" s="151"/>
      <c r="E19" s="317"/>
      <c r="F19" s="12"/>
      <c r="G19" s="12"/>
      <c r="H19" s="12"/>
      <c r="I19" s="12"/>
      <c r="J19" s="12"/>
      <c r="K19" s="12"/>
      <c r="L19" s="12"/>
      <c r="M19" s="14" t="s">
        <v>46</v>
      </c>
      <c r="P19" s="259"/>
    </row>
    <row r="20" spans="2:16" ht="18" customHeight="1">
      <c r="E20" s="317"/>
      <c r="J20" s="122"/>
      <c r="P20" s="259"/>
    </row>
    <row r="21" spans="2:16" ht="18" customHeight="1">
      <c r="B21" s="523" t="s">
        <v>13</v>
      </c>
      <c r="C21" s="524"/>
      <c r="D21" s="524"/>
      <c r="E21" s="525"/>
      <c r="F21" s="524"/>
      <c r="G21" s="524"/>
      <c r="H21" s="524"/>
      <c r="I21" s="524"/>
      <c r="J21" s="524"/>
      <c r="K21" s="524"/>
      <c r="L21" s="524"/>
      <c r="M21" s="524"/>
      <c r="N21" s="524"/>
      <c r="P21" s="259"/>
    </row>
    <row r="22" spans="2:16" ht="30" customHeight="1">
      <c r="B22" s="16" t="s">
        <v>265</v>
      </c>
      <c r="C22" s="3" t="s">
        <v>417</v>
      </c>
      <c r="D22" s="8" t="s">
        <v>226</v>
      </c>
      <c r="E22" s="314">
        <f>15618/2</f>
        <v>7809</v>
      </c>
      <c r="F22" s="9">
        <v>3248.4</v>
      </c>
      <c r="G22" s="9">
        <v>0</v>
      </c>
      <c r="H22" s="9">
        <f>F22</f>
        <v>3248.4</v>
      </c>
      <c r="I22" s="9"/>
      <c r="J22" s="9"/>
      <c r="K22" s="9">
        <v>405.6</v>
      </c>
      <c r="L22" s="9">
        <f t="shared" ref="L22" si="6">K22</f>
        <v>405.6</v>
      </c>
      <c r="M22" s="9">
        <f>H22+I22-L22-J22</f>
        <v>2842.8</v>
      </c>
      <c r="N22" s="3"/>
      <c r="P22" s="259"/>
    </row>
    <row r="23" spans="2:16" ht="30" customHeight="1">
      <c r="B23" s="611" t="s">
        <v>266</v>
      </c>
      <c r="C23" s="120" t="s">
        <v>433</v>
      </c>
      <c r="D23" s="612" t="s">
        <v>226</v>
      </c>
      <c r="E23" s="613"/>
      <c r="F23" s="614">
        <v>3789.8</v>
      </c>
      <c r="G23" s="614"/>
      <c r="H23" s="614">
        <f>F23</f>
        <v>3789.8</v>
      </c>
      <c r="I23" s="614"/>
      <c r="J23" s="614"/>
      <c r="K23" s="614">
        <v>473.2</v>
      </c>
      <c r="L23" s="614">
        <f>K23+J23</f>
        <v>473.2</v>
      </c>
      <c r="M23" s="614">
        <f>H23-L23</f>
        <v>3316.6000000000004</v>
      </c>
      <c r="N23" s="120"/>
      <c r="O23" s="15" t="s">
        <v>799</v>
      </c>
      <c r="P23" s="259"/>
    </row>
    <row r="24" spans="2:16" s="21" customFormat="1" ht="18" customHeight="1" thickBot="1">
      <c r="B24" s="558" t="s">
        <v>9</v>
      </c>
      <c r="C24" s="559"/>
      <c r="D24" s="559"/>
      <c r="E24" s="560"/>
      <c r="F24" s="561">
        <f>SUM(F22:F23)</f>
        <v>7038.2000000000007</v>
      </c>
      <c r="G24" s="561">
        <f>SUM(G22:G22)</f>
        <v>0</v>
      </c>
      <c r="H24" s="561">
        <f>SUM(H22:H23)</f>
        <v>7038.2000000000007</v>
      </c>
      <c r="I24" s="561">
        <f>SUM(I22:I22)</f>
        <v>0</v>
      </c>
      <c r="J24" s="561">
        <f>SUM(J22:J22)</f>
        <v>0</v>
      </c>
      <c r="K24" s="561">
        <f>SUM(K22:K23)</f>
        <v>878.8</v>
      </c>
      <c r="L24" s="561">
        <f>SUM(L22:L23)</f>
        <v>878.8</v>
      </c>
      <c r="M24" s="537">
        <f>SUM(M22:M23)</f>
        <v>6159.4000000000005</v>
      </c>
      <c r="N24" s="559"/>
      <c r="O24" s="256">
        <f>H24+I24-L24-J24</f>
        <v>6159.4000000000005</v>
      </c>
      <c r="P24" s="259">
        <f t="shared" si="0"/>
        <v>0</v>
      </c>
    </row>
    <row r="25" spans="2:16" ht="18" customHeight="1" thickTop="1">
      <c r="E25" s="317"/>
      <c r="F25" s="12"/>
      <c r="G25" s="12"/>
      <c r="H25" s="12"/>
      <c r="I25" s="13"/>
      <c r="J25" s="13"/>
      <c r="K25" s="12"/>
      <c r="L25" s="12"/>
      <c r="M25" s="14" t="s">
        <v>46</v>
      </c>
      <c r="P25" s="259"/>
    </row>
    <row r="26" spans="2:16" ht="18" customHeight="1">
      <c r="C26" s="660"/>
      <c r="D26" s="660"/>
      <c r="E26" s="660"/>
      <c r="F26" s="653"/>
      <c r="G26" s="653"/>
      <c r="H26" s="653"/>
      <c r="I26" s="653"/>
      <c r="J26" s="151"/>
      <c r="P26" s="259"/>
    </row>
    <row r="27" spans="2:16" ht="18" customHeight="1">
      <c r="B27" s="661" t="s">
        <v>206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3"/>
      <c r="P27" s="259"/>
    </row>
    <row r="28" spans="2:16" ht="18" customHeight="1">
      <c r="B28" s="646" t="s">
        <v>787</v>
      </c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8"/>
      <c r="P28" s="259"/>
    </row>
    <row r="29" spans="2:16" ht="18" customHeight="1">
      <c r="B29" s="24"/>
      <c r="C29" s="25" t="s">
        <v>0</v>
      </c>
      <c r="D29" s="25"/>
      <c r="E29" s="315"/>
      <c r="N29" s="26"/>
      <c r="P29" s="259"/>
    </row>
    <row r="30" spans="2:16" ht="18" customHeight="1">
      <c r="B30" s="30" t="s">
        <v>542</v>
      </c>
      <c r="C30" s="25"/>
      <c r="D30" s="25"/>
      <c r="E30" s="315"/>
      <c r="N30" s="26"/>
      <c r="P30" s="259"/>
    </row>
    <row r="31" spans="2:16" ht="34.5" thickBot="1">
      <c r="B31" s="512" t="s">
        <v>1</v>
      </c>
      <c r="C31" s="456" t="s">
        <v>2</v>
      </c>
      <c r="D31" s="456"/>
      <c r="E31" s="457"/>
      <c r="F31" s="456" t="s">
        <v>3</v>
      </c>
      <c r="G31" s="456" t="s">
        <v>4</v>
      </c>
      <c r="H31" s="456" t="s">
        <v>5</v>
      </c>
      <c r="I31" s="456" t="s">
        <v>44</v>
      </c>
      <c r="J31" s="456" t="s">
        <v>561</v>
      </c>
      <c r="K31" s="456" t="s">
        <v>43</v>
      </c>
      <c r="L31" s="456" t="s">
        <v>6</v>
      </c>
      <c r="M31" s="456" t="s">
        <v>7</v>
      </c>
      <c r="N31" s="458" t="s">
        <v>29</v>
      </c>
      <c r="P31" s="259"/>
    </row>
    <row r="32" spans="2:16" ht="29.25" customHeight="1" thickTop="1">
      <c r="B32" s="16" t="s">
        <v>267</v>
      </c>
      <c r="C32" s="601" t="s">
        <v>759</v>
      </c>
      <c r="D32" s="8" t="s">
        <v>222</v>
      </c>
      <c r="E32" s="314">
        <f>7370/2</f>
        <v>3685</v>
      </c>
      <c r="F32" s="9">
        <v>3832</v>
      </c>
      <c r="G32" s="305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59"/>
    </row>
    <row r="33" spans="2:16" ht="30" customHeight="1">
      <c r="B33" s="16" t="s">
        <v>268</v>
      </c>
      <c r="C33" s="3" t="s">
        <v>584</v>
      </c>
      <c r="D33" s="8" t="s">
        <v>227</v>
      </c>
      <c r="E33" s="314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42"/>
      <c r="P33" s="443"/>
    </row>
    <row r="34" spans="2:16" s="21" customFormat="1" ht="18" customHeight="1" thickBot="1">
      <c r="B34" s="28" t="s">
        <v>9</v>
      </c>
      <c r="C34" s="29"/>
      <c r="D34" s="29"/>
      <c r="E34" s="316"/>
      <c r="F34" s="510">
        <f>SUM(F32:F33)</f>
        <v>9232</v>
      </c>
      <c r="G34" s="510">
        <f t="shared" ref="G34:I34" si="7">SUM(G32:G33)</f>
        <v>0</v>
      </c>
      <c r="H34" s="510">
        <f>SUM(H32:H33)</f>
        <v>9232</v>
      </c>
      <c r="I34" s="510">
        <f t="shared" si="7"/>
        <v>0</v>
      </c>
      <c r="J34" s="510">
        <f>SUM(J32:J33)</f>
        <v>0</v>
      </c>
      <c r="K34" s="510">
        <f>SUM(K32:K33)</f>
        <v>761</v>
      </c>
      <c r="L34" s="510">
        <f>SUM(L32:L33)</f>
        <v>761</v>
      </c>
      <c r="M34" s="211">
        <f>SUM(M32:M33)</f>
        <v>8471</v>
      </c>
      <c r="N34" s="550"/>
      <c r="O34" s="256">
        <f>H34+I34-L34</f>
        <v>8471</v>
      </c>
      <c r="P34" s="259">
        <f t="shared" si="0"/>
        <v>0</v>
      </c>
    </row>
    <row r="35" spans="2:16" ht="18" customHeight="1" thickTop="1">
      <c r="B35" s="24"/>
      <c r="E35" s="317"/>
      <c r="F35" s="12"/>
      <c r="G35" s="12"/>
      <c r="H35" s="12"/>
      <c r="I35" s="13"/>
      <c r="J35" s="13"/>
      <c r="K35" s="12"/>
      <c r="L35" s="12"/>
      <c r="M35" s="14" t="s">
        <v>46</v>
      </c>
      <c r="N35" s="26"/>
      <c r="P35" s="259"/>
    </row>
    <row r="36" spans="2:16" ht="18" customHeight="1">
      <c r="B36" s="30" t="s">
        <v>14</v>
      </c>
      <c r="E36" s="317"/>
      <c r="N36" s="26"/>
      <c r="P36" s="259"/>
    </row>
    <row r="37" spans="2:16" ht="30" customHeight="1">
      <c r="B37" s="16" t="s">
        <v>269</v>
      </c>
      <c r="C37" s="3" t="s">
        <v>210</v>
      </c>
      <c r="D37" s="8" t="s">
        <v>228</v>
      </c>
      <c r="E37" s="314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59"/>
    </row>
    <row r="38" spans="2:16" ht="30" customHeight="1">
      <c r="B38" s="16" t="s">
        <v>352</v>
      </c>
      <c r="C38" s="3" t="s">
        <v>586</v>
      </c>
      <c r="D38" s="8" t="s">
        <v>229</v>
      </c>
      <c r="E38" s="314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59"/>
    </row>
    <row r="39" spans="2:16" s="21" customFormat="1" ht="18" customHeight="1" thickBot="1">
      <c r="B39" s="28" t="s">
        <v>9</v>
      </c>
      <c r="C39" s="29"/>
      <c r="D39" s="29"/>
      <c r="E39" s="316"/>
      <c r="F39" s="510">
        <f>SUM(F37:F38)</f>
        <v>8493</v>
      </c>
      <c r="G39" s="510">
        <f t="shared" ref="G39:L39" si="8">SUM(G37:G38)</f>
        <v>0</v>
      </c>
      <c r="H39" s="510">
        <f>SUM(H37:H38)</f>
        <v>8493</v>
      </c>
      <c r="I39" s="510">
        <f t="shared" si="8"/>
        <v>0</v>
      </c>
      <c r="J39" s="510">
        <f>SUM(J37:J38)</f>
        <v>0</v>
      </c>
      <c r="K39" s="510">
        <f>SUM(K37:K38)</f>
        <v>533</v>
      </c>
      <c r="L39" s="510">
        <f t="shared" si="8"/>
        <v>533</v>
      </c>
      <c r="M39" s="211">
        <f>SUM(M37:M38)</f>
        <v>7960</v>
      </c>
      <c r="N39" s="550"/>
      <c r="O39" s="256">
        <f>H39+I39-L39</f>
        <v>7960</v>
      </c>
      <c r="P39" s="259">
        <f t="shared" si="0"/>
        <v>0</v>
      </c>
    </row>
    <row r="40" spans="2:16" ht="18" customHeight="1" thickTop="1">
      <c r="B40" s="24"/>
      <c r="E40" s="317"/>
      <c r="F40" s="12"/>
      <c r="G40" s="12"/>
      <c r="H40" s="12"/>
      <c r="I40" s="13"/>
      <c r="J40" s="13"/>
      <c r="K40" s="12"/>
      <c r="L40" s="12"/>
      <c r="M40" s="14" t="s">
        <v>46</v>
      </c>
      <c r="N40" s="26"/>
      <c r="P40" s="259"/>
    </row>
    <row r="41" spans="2:16" ht="18" customHeight="1">
      <c r="B41" s="24"/>
      <c r="E41" s="317"/>
      <c r="N41" s="26"/>
      <c r="P41" s="259"/>
    </row>
    <row r="42" spans="2:16" ht="18" customHeight="1">
      <c r="B42" s="30" t="s">
        <v>15</v>
      </c>
      <c r="E42" s="317"/>
      <c r="N42" s="26"/>
      <c r="P42" s="259"/>
    </row>
    <row r="43" spans="2:16" ht="30" customHeight="1">
      <c r="B43" s="16" t="s">
        <v>353</v>
      </c>
      <c r="C43" s="3" t="s">
        <v>535</v>
      </c>
      <c r="D43" s="8" t="s">
        <v>230</v>
      </c>
      <c r="E43" s="314">
        <f>17430/2</f>
        <v>8715</v>
      </c>
      <c r="F43" s="9">
        <v>3021</v>
      </c>
      <c r="G43" s="9">
        <v>0</v>
      </c>
      <c r="H43" s="9">
        <f>F43</f>
        <v>3021</v>
      </c>
      <c r="I43" s="9"/>
      <c r="J43" s="9"/>
      <c r="K43" s="9">
        <v>405</v>
      </c>
      <c r="L43" s="9">
        <f>K43+J43</f>
        <v>405</v>
      </c>
      <c r="M43" s="9">
        <f>H43+I43-L43</f>
        <v>2616</v>
      </c>
      <c r="N43" s="290"/>
      <c r="O43" s="181" t="s">
        <v>798</v>
      </c>
      <c r="P43" s="259"/>
    </row>
    <row r="44" spans="2:16" ht="30" customHeight="1">
      <c r="B44" s="16" t="s">
        <v>354</v>
      </c>
      <c r="C44" s="3" t="s">
        <v>417</v>
      </c>
      <c r="D44" s="8" t="s">
        <v>230</v>
      </c>
      <c r="E44" s="314"/>
      <c r="F44" s="9">
        <v>6042</v>
      </c>
      <c r="G44" s="9"/>
      <c r="H44" s="9">
        <f>F44</f>
        <v>6042</v>
      </c>
      <c r="I44" s="9"/>
      <c r="J44" s="9"/>
      <c r="K44" s="9">
        <v>810</v>
      </c>
      <c r="L44" s="9">
        <f>K44+J44</f>
        <v>810</v>
      </c>
      <c r="M44" s="9">
        <f>H44-L44</f>
        <v>5232</v>
      </c>
      <c r="N44" s="26"/>
      <c r="O44" s="181" t="s">
        <v>797</v>
      </c>
      <c r="P44" s="259"/>
    </row>
    <row r="45" spans="2:16" ht="30" customHeight="1">
      <c r="B45" s="16" t="s">
        <v>355</v>
      </c>
      <c r="C45" s="3" t="s">
        <v>582</v>
      </c>
      <c r="D45" s="8" t="s">
        <v>239</v>
      </c>
      <c r="E45" s="314">
        <f>12210/2</f>
        <v>6105</v>
      </c>
      <c r="F45" s="9">
        <v>6349</v>
      </c>
      <c r="G45" s="9">
        <v>0</v>
      </c>
      <c r="H45" s="9">
        <f>F45</f>
        <v>6349</v>
      </c>
      <c r="I45" s="9"/>
      <c r="J45" s="9"/>
      <c r="K45" s="9">
        <v>647</v>
      </c>
      <c r="L45" s="9">
        <f>K45</f>
        <v>647</v>
      </c>
      <c r="M45" s="9">
        <f>H45+I45-L45-J45</f>
        <v>5702</v>
      </c>
      <c r="N45" s="26"/>
      <c r="O45" s="181"/>
      <c r="P45" s="259"/>
    </row>
    <row r="46" spans="2:16" ht="30" customHeight="1">
      <c r="B46" s="16" t="s">
        <v>356</v>
      </c>
      <c r="C46" s="218" t="s">
        <v>570</v>
      </c>
      <c r="D46" s="8" t="s">
        <v>222</v>
      </c>
      <c r="E46" s="314">
        <f>7414/2</f>
        <v>3707</v>
      </c>
      <c r="F46" s="9">
        <v>3855</v>
      </c>
      <c r="G46" s="9">
        <v>0</v>
      </c>
      <c r="H46" s="9">
        <f>F46</f>
        <v>3855</v>
      </c>
      <c r="I46" s="9"/>
      <c r="J46" s="9"/>
      <c r="K46" s="9">
        <v>282</v>
      </c>
      <c r="L46" s="9">
        <f t="shared" ref="L46:L47" si="9">K46</f>
        <v>282</v>
      </c>
      <c r="M46" s="9">
        <f>H46-L46</f>
        <v>3573</v>
      </c>
      <c r="N46" s="32"/>
      <c r="O46" s="181"/>
      <c r="P46" s="259"/>
    </row>
    <row r="47" spans="2:16" ht="30" customHeight="1">
      <c r="B47" s="16" t="s">
        <v>357</v>
      </c>
      <c r="C47" s="3" t="s">
        <v>583</v>
      </c>
      <c r="D47" s="8" t="s">
        <v>222</v>
      </c>
      <c r="E47" s="314">
        <f>7414/2</f>
        <v>3707</v>
      </c>
      <c r="F47" s="9">
        <v>3855</v>
      </c>
      <c r="G47" s="9">
        <v>0</v>
      </c>
      <c r="H47" s="9">
        <f>F47</f>
        <v>3855</v>
      </c>
      <c r="I47" s="11"/>
      <c r="J47" s="11"/>
      <c r="K47" s="9">
        <v>282</v>
      </c>
      <c r="L47" s="9">
        <f t="shared" si="9"/>
        <v>282</v>
      </c>
      <c r="M47" s="9">
        <f>H47+I47-L47-J47</f>
        <v>3573</v>
      </c>
      <c r="N47" s="26"/>
      <c r="O47" s="181"/>
      <c r="P47" s="259"/>
    </row>
    <row r="48" spans="2:16" s="21" customFormat="1" ht="18" customHeight="1" thickBot="1">
      <c r="B48" s="28" t="s">
        <v>9</v>
      </c>
      <c r="C48" s="29"/>
      <c r="D48" s="29"/>
      <c r="E48" s="316"/>
      <c r="F48" s="510">
        <f>SUM(F43:F47)</f>
        <v>23122</v>
      </c>
      <c r="G48" s="510">
        <f t="shared" ref="G48:I48" si="10">SUM(G43:G47)</f>
        <v>0</v>
      </c>
      <c r="H48" s="510">
        <f>SUM(H43:H47)</f>
        <v>23122</v>
      </c>
      <c r="I48" s="510">
        <f t="shared" si="10"/>
        <v>0</v>
      </c>
      <c r="J48" s="510">
        <f>SUM(J43:J47)</f>
        <v>0</v>
      </c>
      <c r="K48" s="510">
        <f>SUM(K43:K47)</f>
        <v>2426</v>
      </c>
      <c r="L48" s="510">
        <f>SUM(L43:L47)</f>
        <v>2426</v>
      </c>
      <c r="M48" s="211">
        <f>SUM(M43:M47)</f>
        <v>20696</v>
      </c>
      <c r="N48" s="550"/>
      <c r="O48" s="257">
        <f>H48+I48-L48-J48</f>
        <v>20696</v>
      </c>
      <c r="P48" s="259">
        <f t="shared" si="0"/>
        <v>0</v>
      </c>
    </row>
    <row r="49" spans="2:16" ht="18" customHeight="1" thickTop="1">
      <c r="B49" s="24"/>
      <c r="E49" s="317"/>
      <c r="F49" s="12"/>
      <c r="G49" s="12"/>
      <c r="H49" s="12"/>
      <c r="I49" s="13"/>
      <c r="J49" s="13"/>
      <c r="K49" s="12"/>
      <c r="L49" s="12"/>
      <c r="M49" s="14" t="s">
        <v>46</v>
      </c>
      <c r="N49" s="26"/>
      <c r="P49" s="259"/>
    </row>
    <row r="50" spans="2:16" ht="18" customHeight="1">
      <c r="B50" s="24"/>
      <c r="E50" s="317"/>
      <c r="N50" s="26"/>
      <c r="P50" s="259"/>
    </row>
    <row r="51" spans="2:16" ht="18" customHeight="1">
      <c r="B51" s="30" t="s">
        <v>16</v>
      </c>
      <c r="E51" s="317"/>
      <c r="N51" s="26"/>
      <c r="P51" s="259"/>
    </row>
    <row r="52" spans="2:16" ht="30" customHeight="1">
      <c r="B52" s="16" t="s">
        <v>358</v>
      </c>
      <c r="C52" s="3" t="s">
        <v>35</v>
      </c>
      <c r="D52" s="8" t="s">
        <v>232</v>
      </c>
      <c r="E52" s="314">
        <f>8374/2</f>
        <v>4187</v>
      </c>
      <c r="F52" s="9">
        <v>4354</v>
      </c>
      <c r="G52" s="9">
        <v>0</v>
      </c>
      <c r="H52" s="9">
        <f>F52</f>
        <v>4354</v>
      </c>
      <c r="I52" s="9"/>
      <c r="J52" s="9"/>
      <c r="K52" s="9">
        <v>337</v>
      </c>
      <c r="L52" s="9">
        <f>K52</f>
        <v>337</v>
      </c>
      <c r="M52" s="9">
        <f>H52+I52-L52-J52</f>
        <v>4017</v>
      </c>
      <c r="N52" s="33"/>
      <c r="P52" s="259"/>
    </row>
    <row r="53" spans="2:16" ht="30" customHeight="1">
      <c r="B53" s="16" t="s">
        <v>359</v>
      </c>
      <c r="C53" s="3" t="s">
        <v>600</v>
      </c>
      <c r="D53" s="8" t="s">
        <v>691</v>
      </c>
      <c r="E53" s="314">
        <f>10384/2</f>
        <v>5192</v>
      </c>
      <c r="F53" s="9">
        <v>5900</v>
      </c>
      <c r="G53" s="9">
        <v>0</v>
      </c>
      <c r="H53" s="9">
        <f>F53</f>
        <v>5900</v>
      </c>
      <c r="I53" s="9"/>
      <c r="J53" s="9"/>
      <c r="K53" s="9">
        <v>567</v>
      </c>
      <c r="L53" s="9">
        <f>J53+K53</f>
        <v>567</v>
      </c>
      <c r="M53" s="9">
        <f>H53-L53</f>
        <v>5333</v>
      </c>
      <c r="N53" s="34"/>
      <c r="P53" s="259"/>
    </row>
    <row r="54" spans="2:16" s="21" customFormat="1" ht="18" customHeight="1" thickBot="1">
      <c r="B54" s="28" t="s">
        <v>9</v>
      </c>
      <c r="C54" s="29"/>
      <c r="D54" s="29"/>
      <c r="E54" s="316"/>
      <c r="F54" s="510">
        <f>SUM(F52:F53)</f>
        <v>10254</v>
      </c>
      <c r="G54" s="510">
        <f t="shared" ref="G54:L54" si="11">SUM(G52:G53)</f>
        <v>0</v>
      </c>
      <c r="H54" s="510">
        <f>SUM(H52:H53)</f>
        <v>10254</v>
      </c>
      <c r="I54" s="510">
        <f t="shared" si="11"/>
        <v>0</v>
      </c>
      <c r="J54" s="510">
        <f>SUM(J52:J53)</f>
        <v>0</v>
      </c>
      <c r="K54" s="510">
        <f>SUM(K52:K53)</f>
        <v>904</v>
      </c>
      <c r="L54" s="510">
        <f t="shared" si="11"/>
        <v>904</v>
      </c>
      <c r="M54" s="211">
        <f>SUM(M52:M53)</f>
        <v>9350</v>
      </c>
      <c r="N54" s="550"/>
      <c r="O54" s="256">
        <f>H54+I54-L54</f>
        <v>9350</v>
      </c>
      <c r="P54" s="259">
        <f t="shared" si="0"/>
        <v>0</v>
      </c>
    </row>
    <row r="55" spans="2:16" ht="18" customHeight="1" thickTop="1">
      <c r="E55" s="318"/>
      <c r="F55" s="12"/>
      <c r="G55" s="12"/>
      <c r="H55" s="12"/>
      <c r="I55" s="12"/>
      <c r="J55" s="12"/>
      <c r="K55" s="12"/>
      <c r="L55" s="12"/>
      <c r="M55" s="14" t="s">
        <v>46</v>
      </c>
      <c r="N55" s="26"/>
      <c r="P55" s="259"/>
    </row>
    <row r="56" spans="2:16" ht="18" customHeight="1">
      <c r="E56" s="318"/>
      <c r="F56" s="12"/>
      <c r="G56" s="12"/>
      <c r="H56" s="12"/>
      <c r="I56" s="12"/>
      <c r="J56" s="12"/>
      <c r="K56" s="12"/>
      <c r="L56" s="12"/>
      <c r="M56" s="14"/>
      <c r="N56" s="26"/>
      <c r="P56" s="259"/>
    </row>
    <row r="57" spans="2:16" ht="18" customHeight="1">
      <c r="B57" s="643" t="s">
        <v>206</v>
      </c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5"/>
      <c r="P57" s="259"/>
    </row>
    <row r="58" spans="2:16" ht="18" customHeight="1">
      <c r="B58" s="646" t="s">
        <v>788</v>
      </c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8"/>
      <c r="P58" s="259"/>
    </row>
    <row r="59" spans="2:16" ht="18" customHeight="1">
      <c r="B59" s="24"/>
      <c r="C59" s="25" t="s">
        <v>0</v>
      </c>
      <c r="D59" s="25"/>
      <c r="E59" s="315"/>
      <c r="N59" s="26"/>
      <c r="P59" s="259"/>
    </row>
    <row r="60" spans="2:16" ht="40.5" customHeight="1" thickBot="1">
      <c r="B60" s="512" t="s">
        <v>1</v>
      </c>
      <c r="C60" s="456" t="s">
        <v>2</v>
      </c>
      <c r="D60" s="456"/>
      <c r="E60" s="457"/>
      <c r="F60" s="456" t="s">
        <v>3</v>
      </c>
      <c r="G60" s="456" t="s">
        <v>4</v>
      </c>
      <c r="H60" s="456" t="s">
        <v>5</v>
      </c>
      <c r="I60" s="456" t="s">
        <v>44</v>
      </c>
      <c r="J60" s="456"/>
      <c r="K60" s="456" t="s">
        <v>43</v>
      </c>
      <c r="L60" s="456" t="s">
        <v>6</v>
      </c>
      <c r="M60" s="456" t="s">
        <v>7</v>
      </c>
      <c r="N60" s="458" t="s">
        <v>29</v>
      </c>
      <c r="P60" s="259"/>
    </row>
    <row r="61" spans="2:16" ht="18" customHeight="1" thickTop="1">
      <c r="B61" s="30" t="s">
        <v>17</v>
      </c>
      <c r="E61" s="317"/>
      <c r="N61" s="26"/>
      <c r="P61" s="259"/>
    </row>
    <row r="62" spans="2:16" ht="18" customHeight="1">
      <c r="B62" s="16" t="s">
        <v>360</v>
      </c>
      <c r="C62" s="3" t="s">
        <v>533</v>
      </c>
      <c r="D62" s="8" t="s">
        <v>534</v>
      </c>
      <c r="E62" s="314">
        <f>10384/2</f>
        <v>5192</v>
      </c>
      <c r="F62" s="387">
        <v>5400</v>
      </c>
      <c r="G62" s="22"/>
      <c r="H62" s="22">
        <f>F62</f>
        <v>5400</v>
      </c>
      <c r="I62" s="22"/>
      <c r="J62" s="387"/>
      <c r="K62" s="387">
        <v>481</v>
      </c>
      <c r="L62" s="22">
        <f>J62+K62</f>
        <v>481</v>
      </c>
      <c r="M62" s="22">
        <f>H62-L62</f>
        <v>4919</v>
      </c>
      <c r="N62" s="26"/>
      <c r="P62" s="259"/>
    </row>
    <row r="63" spans="2:16" ht="24.95" customHeight="1">
      <c r="B63" s="16" t="s">
        <v>361</v>
      </c>
      <c r="C63" s="3" t="s">
        <v>36</v>
      </c>
      <c r="D63" s="8" t="s">
        <v>239</v>
      </c>
      <c r="E63" s="314">
        <f>7942/2</f>
        <v>3971</v>
      </c>
      <c r="F63" s="9">
        <v>4130</v>
      </c>
      <c r="G63" s="9">
        <v>0</v>
      </c>
      <c r="H63" s="9">
        <f>F63</f>
        <v>4130</v>
      </c>
      <c r="I63" s="9"/>
      <c r="J63" s="9"/>
      <c r="K63" s="9">
        <v>312</v>
      </c>
      <c r="L63" s="9">
        <f>K63</f>
        <v>312</v>
      </c>
      <c r="M63" s="9">
        <f>H63+I63-L63-J63</f>
        <v>3818</v>
      </c>
      <c r="N63" s="3"/>
      <c r="O63" s="306"/>
      <c r="P63" s="259"/>
    </row>
    <row r="64" spans="2:16" s="21" customFormat="1" ht="24.95" customHeight="1" thickBot="1">
      <c r="B64" s="28" t="s">
        <v>9</v>
      </c>
      <c r="C64" s="29"/>
      <c r="D64" s="29"/>
      <c r="E64" s="316"/>
      <c r="F64" s="510">
        <f>SUM(F63+F62)</f>
        <v>9530</v>
      </c>
      <c r="G64" s="510">
        <f t="shared" ref="G64:I64" si="12">SUM(G63)</f>
        <v>0</v>
      </c>
      <c r="H64" s="510">
        <f>SUM(H62:H63)</f>
        <v>9530</v>
      </c>
      <c r="I64" s="510">
        <f t="shared" si="12"/>
        <v>0</v>
      </c>
      <c r="J64" s="510">
        <f>SUM(J62:J63)</f>
        <v>0</v>
      </c>
      <c r="K64" s="510">
        <f>SUM(K62:K63)</f>
        <v>793</v>
      </c>
      <c r="L64" s="510">
        <f>SUM(L62:L63)</f>
        <v>793</v>
      </c>
      <c r="M64" s="211">
        <f>SUM(M62:M63)</f>
        <v>8737</v>
      </c>
      <c r="N64" s="550"/>
      <c r="O64" s="256">
        <f>H64+I64-L64-J64</f>
        <v>8737</v>
      </c>
      <c r="P64" s="259">
        <f t="shared" si="0"/>
        <v>0</v>
      </c>
    </row>
    <row r="65" spans="2:16" ht="24.95" customHeight="1" thickTop="1">
      <c r="B65" s="24"/>
      <c r="E65" s="317"/>
      <c r="F65" s="12"/>
      <c r="G65" s="12"/>
      <c r="H65" s="12"/>
      <c r="I65" s="12"/>
      <c r="J65" s="12"/>
      <c r="K65" s="12"/>
      <c r="L65" s="12"/>
      <c r="M65" s="14" t="s">
        <v>46</v>
      </c>
      <c r="N65" s="26"/>
      <c r="P65" s="259"/>
    </row>
    <row r="66" spans="2:16" ht="24.95" customHeight="1">
      <c r="B66" s="24"/>
      <c r="E66" s="317"/>
      <c r="N66" s="26"/>
      <c r="P66" s="259"/>
    </row>
    <row r="67" spans="2:16" ht="24.95" customHeight="1">
      <c r="B67" s="30" t="s">
        <v>18</v>
      </c>
      <c r="E67" s="317"/>
      <c r="N67" s="26"/>
      <c r="P67" s="259"/>
    </row>
    <row r="68" spans="2:16" ht="24.95" customHeight="1">
      <c r="B68" s="16" t="s">
        <v>362</v>
      </c>
      <c r="C68" s="3" t="s">
        <v>39</v>
      </c>
      <c r="D68" s="8" t="s">
        <v>234</v>
      </c>
      <c r="E68" s="314">
        <f>7942/2</f>
        <v>3971</v>
      </c>
      <c r="F68" s="9">
        <v>4130</v>
      </c>
      <c r="G68" s="9">
        <v>0</v>
      </c>
      <c r="H68" s="9">
        <f>F68</f>
        <v>4130</v>
      </c>
      <c r="I68" s="9"/>
      <c r="J68" s="9"/>
      <c r="K68" s="9">
        <v>312</v>
      </c>
      <c r="L68" s="9">
        <f>K68</f>
        <v>312</v>
      </c>
      <c r="M68" s="9">
        <f>H68+I68-L68-J68:J70</f>
        <v>3818</v>
      </c>
      <c r="N68" s="27"/>
      <c r="P68" s="259"/>
    </row>
    <row r="69" spans="2:16" ht="24.95" customHeight="1">
      <c r="B69" s="16" t="s">
        <v>363</v>
      </c>
      <c r="C69" s="3" t="s">
        <v>37</v>
      </c>
      <c r="D69" s="8" t="s">
        <v>235</v>
      </c>
      <c r="E69" s="314">
        <f>10942/2</f>
        <v>5471</v>
      </c>
      <c r="F69" s="9">
        <v>5690</v>
      </c>
      <c r="G69" s="9">
        <v>0</v>
      </c>
      <c r="H69" s="9">
        <f>F69</f>
        <v>5690</v>
      </c>
      <c r="I69" s="9"/>
      <c r="J69" s="9"/>
      <c r="K69" s="9">
        <v>529</v>
      </c>
      <c r="L69" s="9">
        <f t="shared" ref="L69" si="13">K69</f>
        <v>529</v>
      </c>
      <c r="M69" s="9">
        <f t="shared" ref="M69" si="14">H69+I69-L69-J69:J71</f>
        <v>5161</v>
      </c>
      <c r="N69" s="26"/>
      <c r="P69" s="259"/>
    </row>
    <row r="70" spans="2:16" ht="24.95" customHeight="1">
      <c r="B70" s="16" t="s">
        <v>364</v>
      </c>
      <c r="C70" s="3" t="s">
        <v>38</v>
      </c>
      <c r="D70" s="8" t="s">
        <v>236</v>
      </c>
      <c r="E70" s="314">
        <f>7940/2</f>
        <v>3970</v>
      </c>
      <c r="F70" s="9">
        <v>4129</v>
      </c>
      <c r="G70" s="9">
        <v>0</v>
      </c>
      <c r="H70" s="9">
        <f>F70</f>
        <v>4129</v>
      </c>
      <c r="I70" s="9"/>
      <c r="J70" s="9"/>
      <c r="K70" s="9">
        <v>312</v>
      </c>
      <c r="L70" s="9">
        <f>K70</f>
        <v>312</v>
      </c>
      <c r="M70" s="9">
        <f>H70+I70-L70-J70</f>
        <v>3817</v>
      </c>
      <c r="N70" s="32"/>
      <c r="P70" s="259"/>
    </row>
    <row r="71" spans="2:16" s="21" customFormat="1" ht="24.95" customHeight="1" thickBot="1">
      <c r="B71" s="28" t="s">
        <v>9</v>
      </c>
      <c r="C71" s="29"/>
      <c r="D71" s="29"/>
      <c r="E71" s="316"/>
      <c r="F71" s="510">
        <f>SUM(F68:F70)</f>
        <v>13949</v>
      </c>
      <c r="G71" s="510">
        <f t="shared" ref="G71:I71" si="15">SUM(G68:G70)</f>
        <v>0</v>
      </c>
      <c r="H71" s="510">
        <f>SUM(H68:H70)</f>
        <v>13949</v>
      </c>
      <c r="I71" s="510">
        <f t="shared" si="15"/>
        <v>0</v>
      </c>
      <c r="J71" s="510">
        <f>SUM(J68:J70)</f>
        <v>0</v>
      </c>
      <c r="K71" s="510">
        <f>SUM(K68:K70)</f>
        <v>1153</v>
      </c>
      <c r="L71" s="510">
        <f>SUM(L68:L70)</f>
        <v>1153</v>
      </c>
      <c r="M71" s="211">
        <f>SUM(M68:M70)</f>
        <v>12796</v>
      </c>
      <c r="N71" s="550"/>
      <c r="O71" s="256">
        <f>H71+I71-L71</f>
        <v>12796</v>
      </c>
      <c r="P71" s="259">
        <f t="shared" ref="P71:P122" si="16">M71-O71</f>
        <v>0</v>
      </c>
    </row>
    <row r="72" spans="2:16" ht="24.95" customHeight="1" thickTop="1">
      <c r="B72" s="24"/>
      <c r="E72" s="317"/>
      <c r="F72" s="12"/>
      <c r="G72" s="12"/>
      <c r="H72" s="12"/>
      <c r="I72" s="12"/>
      <c r="J72" s="12"/>
      <c r="K72" s="12"/>
      <c r="L72" s="12"/>
      <c r="M72" s="14" t="s">
        <v>46</v>
      </c>
      <c r="N72" s="26"/>
      <c r="P72" s="259"/>
    </row>
    <row r="73" spans="2:16" ht="24.95" customHeight="1">
      <c r="B73" s="24"/>
      <c r="E73" s="317"/>
      <c r="N73" s="26"/>
      <c r="P73" s="259"/>
    </row>
    <row r="74" spans="2:16" ht="24.95" customHeight="1">
      <c r="B74" s="30" t="s">
        <v>19</v>
      </c>
      <c r="E74" s="317"/>
      <c r="N74" s="26"/>
      <c r="P74" s="259"/>
    </row>
    <row r="75" spans="2:16" ht="24.95" customHeight="1">
      <c r="B75" s="16" t="s">
        <v>365</v>
      </c>
      <c r="C75" s="3" t="s">
        <v>432</v>
      </c>
      <c r="D75" s="8" t="s">
        <v>237</v>
      </c>
      <c r="E75" s="314">
        <f>16078/2</f>
        <v>8039</v>
      </c>
      <c r="F75" s="9">
        <v>8360</v>
      </c>
      <c r="G75" s="9">
        <v>0</v>
      </c>
      <c r="H75" s="9">
        <f>F75</f>
        <v>8360</v>
      </c>
      <c r="I75" s="9"/>
      <c r="J75" s="9"/>
      <c r="K75" s="9">
        <v>1065</v>
      </c>
      <c r="L75" s="9">
        <f>K75</f>
        <v>1065</v>
      </c>
      <c r="M75" s="9">
        <f>H75+I75-L75-J75</f>
        <v>7295</v>
      </c>
      <c r="N75" s="27"/>
      <c r="P75" s="259"/>
    </row>
    <row r="76" spans="2:16" s="21" customFormat="1" ht="24.95" customHeight="1" thickBot="1">
      <c r="B76" s="28" t="s">
        <v>9</v>
      </c>
      <c r="C76" s="29"/>
      <c r="D76" s="29"/>
      <c r="E76" s="316"/>
      <c r="F76" s="510">
        <f>SUM(F75)</f>
        <v>8360</v>
      </c>
      <c r="G76" s="510">
        <f t="shared" ref="G76:I76" si="17">SUM(G75)</f>
        <v>0</v>
      </c>
      <c r="H76" s="510">
        <f>SUM(H75)</f>
        <v>8360</v>
      </c>
      <c r="I76" s="510">
        <f t="shared" si="17"/>
        <v>0</v>
      </c>
      <c r="J76" s="510">
        <f>SUM(J75)</f>
        <v>0</v>
      </c>
      <c r="K76" s="510">
        <f>SUM(K75)</f>
        <v>1065</v>
      </c>
      <c r="L76" s="510">
        <f>SUM(L75)</f>
        <v>1065</v>
      </c>
      <c r="M76" s="211">
        <f>SUM(M75)</f>
        <v>7295</v>
      </c>
      <c r="N76" s="555"/>
      <c r="O76" s="256">
        <f>H76+I76-L76</f>
        <v>7295</v>
      </c>
      <c r="P76" s="259">
        <f t="shared" si="16"/>
        <v>0</v>
      </c>
    </row>
    <row r="77" spans="2:16" ht="18" customHeight="1" thickTop="1">
      <c r="B77" s="37"/>
      <c r="C77" s="38"/>
      <c r="D77" s="38"/>
      <c r="E77" s="319"/>
      <c r="F77" s="39"/>
      <c r="G77" s="39"/>
      <c r="H77" s="39"/>
      <c r="I77" s="39"/>
      <c r="J77" s="39"/>
      <c r="K77" s="39"/>
      <c r="L77" s="39"/>
      <c r="M77" s="40" t="s">
        <v>46</v>
      </c>
      <c r="N77" s="27"/>
      <c r="P77" s="259"/>
    </row>
    <row r="78" spans="2:16" ht="18" customHeight="1">
      <c r="E78" s="318"/>
      <c r="P78" s="259"/>
    </row>
    <row r="79" spans="2:16" ht="18" customHeight="1">
      <c r="E79" s="318"/>
      <c r="P79" s="259"/>
    </row>
    <row r="80" spans="2:16" ht="18" customHeight="1">
      <c r="E80" s="318"/>
      <c r="P80" s="259"/>
    </row>
    <row r="81" spans="2:16" ht="18" customHeight="1">
      <c r="B81" s="643" t="s">
        <v>206</v>
      </c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5"/>
      <c r="P81" s="259"/>
    </row>
    <row r="82" spans="2:16" ht="18" customHeight="1">
      <c r="B82" s="646" t="s">
        <v>789</v>
      </c>
      <c r="C82" s="647"/>
      <c r="D82" s="647"/>
      <c r="E82" s="647"/>
      <c r="F82" s="647"/>
      <c r="G82" s="647"/>
      <c r="H82" s="647"/>
      <c r="I82" s="647"/>
      <c r="J82" s="647"/>
      <c r="K82" s="647"/>
      <c r="L82" s="647"/>
      <c r="M82" s="647"/>
      <c r="N82" s="648"/>
      <c r="P82" s="259"/>
    </row>
    <row r="83" spans="2:16" ht="18" customHeight="1">
      <c r="B83" s="24"/>
      <c r="C83" s="25" t="s">
        <v>0</v>
      </c>
      <c r="D83" s="25"/>
      <c r="E83" s="315"/>
      <c r="N83" s="26"/>
      <c r="P83" s="259"/>
    </row>
    <row r="84" spans="2:16" ht="39" customHeight="1" thickBot="1">
      <c r="B84" s="512" t="s">
        <v>1</v>
      </c>
      <c r="C84" s="456" t="s">
        <v>2</v>
      </c>
      <c r="D84" s="456"/>
      <c r="E84" s="457"/>
      <c r="F84" s="456" t="s">
        <v>3</v>
      </c>
      <c r="G84" s="456" t="s">
        <v>4</v>
      </c>
      <c r="H84" s="456" t="s">
        <v>5</v>
      </c>
      <c r="I84" s="456" t="s">
        <v>44</v>
      </c>
      <c r="J84" s="456"/>
      <c r="K84" s="456" t="s">
        <v>43</v>
      </c>
      <c r="L84" s="456" t="s">
        <v>6</v>
      </c>
      <c r="M84" s="456" t="s">
        <v>7</v>
      </c>
      <c r="N84" s="458" t="s">
        <v>29</v>
      </c>
      <c r="P84" s="259"/>
    </row>
    <row r="85" spans="2:16" ht="18" customHeight="1" thickTop="1">
      <c r="B85" s="30" t="s">
        <v>20</v>
      </c>
      <c r="E85" s="317"/>
      <c r="N85" s="26"/>
      <c r="P85" s="259"/>
    </row>
    <row r="86" spans="2:16" ht="30" customHeight="1">
      <c r="B86" s="16" t="s">
        <v>366</v>
      </c>
      <c r="C86" s="3" t="s">
        <v>405</v>
      </c>
      <c r="D86" s="8" t="s">
        <v>238</v>
      </c>
      <c r="E86" s="314">
        <f>14560/2</f>
        <v>7280</v>
      </c>
      <c r="F86" s="9">
        <v>7571</v>
      </c>
      <c r="G86" s="9">
        <v>0</v>
      </c>
      <c r="H86" s="9">
        <f t="shared" ref="H86:H92" si="18">F86</f>
        <v>7571</v>
      </c>
      <c r="I86" s="9"/>
      <c r="J86" s="9"/>
      <c r="K86" s="9">
        <v>897</v>
      </c>
      <c r="L86" s="9">
        <f>K86</f>
        <v>897</v>
      </c>
      <c r="M86" s="9">
        <f>H86+I86-L86-J86</f>
        <v>6674</v>
      </c>
      <c r="N86" s="27"/>
      <c r="P86" s="259"/>
    </row>
    <row r="87" spans="2:16" ht="30" customHeight="1">
      <c r="B87" s="16" t="s">
        <v>367</v>
      </c>
      <c r="C87" s="3" t="s">
        <v>406</v>
      </c>
      <c r="D87" s="8" t="s">
        <v>238</v>
      </c>
      <c r="E87" s="314">
        <f>14560/2</f>
        <v>7280</v>
      </c>
      <c r="F87" s="9">
        <v>7571</v>
      </c>
      <c r="G87" s="9">
        <v>0</v>
      </c>
      <c r="H87" s="9">
        <f t="shared" si="18"/>
        <v>7571</v>
      </c>
      <c r="I87" s="9"/>
      <c r="J87" s="9"/>
      <c r="K87" s="9">
        <v>897</v>
      </c>
      <c r="L87" s="9">
        <f t="shared" ref="L87:L92" si="19">K87</f>
        <v>897</v>
      </c>
      <c r="M87" s="9">
        <f t="shared" ref="M87:M92" si="20">H87+I87-L87-J87</f>
        <v>6674</v>
      </c>
      <c r="N87" s="26"/>
      <c r="P87" s="259"/>
    </row>
    <row r="88" spans="2:16" ht="30" customHeight="1">
      <c r="B88" s="16" t="s">
        <v>368</v>
      </c>
      <c r="C88" s="3" t="s">
        <v>407</v>
      </c>
      <c r="D88" s="8" t="s">
        <v>238</v>
      </c>
      <c r="E88" s="314">
        <f>14560/2</f>
        <v>7280</v>
      </c>
      <c r="F88" s="9">
        <v>7571</v>
      </c>
      <c r="G88" s="9">
        <v>0</v>
      </c>
      <c r="H88" s="9">
        <f t="shared" si="18"/>
        <v>7571</v>
      </c>
      <c r="I88" s="9"/>
      <c r="J88" s="9"/>
      <c r="K88" s="9">
        <v>897</v>
      </c>
      <c r="L88" s="9">
        <f t="shared" si="19"/>
        <v>897</v>
      </c>
      <c r="M88" s="9">
        <f t="shared" si="20"/>
        <v>6674</v>
      </c>
      <c r="N88" s="31"/>
      <c r="P88" s="259"/>
    </row>
    <row r="89" spans="2:16" ht="30" customHeight="1">
      <c r="B89" s="16" t="s">
        <v>369</v>
      </c>
      <c r="C89" s="3" t="s">
        <v>408</v>
      </c>
      <c r="D89" s="8" t="s">
        <v>231</v>
      </c>
      <c r="E89" s="314">
        <f>8506/2</f>
        <v>4253</v>
      </c>
      <c r="F89" s="9">
        <v>4423</v>
      </c>
      <c r="G89" s="9">
        <v>0</v>
      </c>
      <c r="H89" s="9">
        <f t="shared" si="18"/>
        <v>4423</v>
      </c>
      <c r="I89" s="9"/>
      <c r="J89" s="9"/>
      <c r="K89" s="9">
        <v>344</v>
      </c>
      <c r="L89" s="9">
        <f t="shared" si="19"/>
        <v>344</v>
      </c>
      <c r="M89" s="9">
        <f t="shared" si="20"/>
        <v>4079</v>
      </c>
      <c r="N89" s="31"/>
      <c r="P89" s="259"/>
    </row>
    <row r="90" spans="2:16" ht="30" customHeight="1">
      <c r="B90" s="16" t="s">
        <v>370</v>
      </c>
      <c r="C90" s="3" t="s">
        <v>409</v>
      </c>
      <c r="D90" s="8" t="s">
        <v>239</v>
      </c>
      <c r="E90" s="314">
        <f>7106/2</f>
        <v>3553</v>
      </c>
      <c r="F90" s="9">
        <v>3695</v>
      </c>
      <c r="G90" s="9">
        <v>0</v>
      </c>
      <c r="H90" s="9">
        <f t="shared" si="18"/>
        <v>3695</v>
      </c>
      <c r="I90" s="11"/>
      <c r="J90" s="11"/>
      <c r="K90" s="9">
        <v>265</v>
      </c>
      <c r="L90" s="9">
        <f t="shared" si="19"/>
        <v>265</v>
      </c>
      <c r="M90" s="9">
        <f t="shared" si="20"/>
        <v>3430</v>
      </c>
      <c r="N90" s="31"/>
      <c r="P90" s="259"/>
    </row>
    <row r="91" spans="2:16" ht="30" customHeight="1">
      <c r="B91" s="16" t="s">
        <v>371</v>
      </c>
      <c r="C91" s="3" t="s">
        <v>410</v>
      </c>
      <c r="D91" s="8" t="s">
        <v>239</v>
      </c>
      <c r="E91" s="314">
        <f>7398/2</f>
        <v>3699</v>
      </c>
      <c r="F91" s="9">
        <v>3847</v>
      </c>
      <c r="G91" s="9">
        <v>0</v>
      </c>
      <c r="H91" s="9">
        <f t="shared" si="18"/>
        <v>3847</v>
      </c>
      <c r="I91" s="11"/>
      <c r="J91" s="9"/>
      <c r="K91" s="9">
        <v>282</v>
      </c>
      <c r="L91" s="9">
        <f t="shared" si="19"/>
        <v>282</v>
      </c>
      <c r="M91" s="9">
        <f>H91+I91-L91-J91</f>
        <v>3565</v>
      </c>
      <c r="N91" s="32"/>
      <c r="P91" s="259"/>
    </row>
    <row r="92" spans="2:16" ht="30" customHeight="1">
      <c r="B92" s="16" t="s">
        <v>372</v>
      </c>
      <c r="C92" s="3" t="s">
        <v>571</v>
      </c>
      <c r="D92" s="8" t="s">
        <v>572</v>
      </c>
      <c r="E92" s="314">
        <f>8552/2</f>
        <v>4276</v>
      </c>
      <c r="F92" s="9">
        <v>5148</v>
      </c>
      <c r="G92" s="9">
        <v>0</v>
      </c>
      <c r="H92" s="9">
        <f t="shared" si="18"/>
        <v>5148</v>
      </c>
      <c r="I92" s="11"/>
      <c r="J92" s="11"/>
      <c r="K92" s="9">
        <v>441</v>
      </c>
      <c r="L92" s="9">
        <f t="shared" si="19"/>
        <v>441</v>
      </c>
      <c r="M92" s="9">
        <f t="shared" si="20"/>
        <v>4707</v>
      </c>
      <c r="N92" s="26"/>
      <c r="P92" s="259"/>
    </row>
    <row r="93" spans="2:16" s="21" customFormat="1" ht="18" customHeight="1" thickBot="1">
      <c r="B93" s="28" t="s">
        <v>9</v>
      </c>
      <c r="C93" s="29"/>
      <c r="D93" s="29"/>
      <c r="E93" s="316"/>
      <c r="F93" s="510">
        <f>SUM(F86:F92)</f>
        <v>39826</v>
      </c>
      <c r="G93" s="510">
        <f>SUM(G86:G92)</f>
        <v>0</v>
      </c>
      <c r="H93" s="510">
        <f>SUM(H86:H92)</f>
        <v>39826</v>
      </c>
      <c r="I93" s="510">
        <f>SUM(I86:I91)</f>
        <v>0</v>
      </c>
      <c r="J93" s="510">
        <f>SUM(J86:J91)</f>
        <v>0</v>
      </c>
      <c r="K93" s="510">
        <f>SUM(K86:K92)</f>
        <v>4023</v>
      </c>
      <c r="L93" s="510">
        <f>SUM(L86:L92)</f>
        <v>4023</v>
      </c>
      <c r="M93" s="211">
        <f>SUM(M86:M92)</f>
        <v>35803</v>
      </c>
      <c r="N93" s="553"/>
      <c r="O93" s="256">
        <f>H93+I93-L93</f>
        <v>35803</v>
      </c>
      <c r="P93" s="259">
        <f t="shared" si="16"/>
        <v>0</v>
      </c>
    </row>
    <row r="94" spans="2:16" ht="18" customHeight="1" thickTop="1">
      <c r="B94" s="24"/>
      <c r="E94" s="317"/>
      <c r="F94" s="12"/>
      <c r="G94" s="12"/>
      <c r="H94" s="12"/>
      <c r="I94" s="13"/>
      <c r="J94" s="13"/>
      <c r="K94" s="12"/>
      <c r="L94" s="12"/>
      <c r="M94" s="14" t="s">
        <v>46</v>
      </c>
      <c r="N94" s="26"/>
      <c r="P94" s="259"/>
    </row>
    <row r="95" spans="2:16" ht="18" customHeight="1">
      <c r="B95" s="24"/>
      <c r="E95" s="317"/>
      <c r="N95" s="26"/>
      <c r="P95" s="259"/>
    </row>
    <row r="96" spans="2:16" ht="18" customHeight="1">
      <c r="B96" s="30" t="s">
        <v>21</v>
      </c>
      <c r="E96" s="317"/>
      <c r="N96" s="26"/>
      <c r="P96" s="259"/>
    </row>
    <row r="97" spans="2:17" ht="30" customHeight="1">
      <c r="B97" s="16" t="s">
        <v>373</v>
      </c>
      <c r="C97" s="3" t="s">
        <v>411</v>
      </c>
      <c r="D97" s="8" t="s">
        <v>240</v>
      </c>
      <c r="E97" s="314">
        <f>7414/2</f>
        <v>3707</v>
      </c>
      <c r="F97" s="9">
        <v>3855</v>
      </c>
      <c r="G97" s="9">
        <v>0</v>
      </c>
      <c r="H97" s="9">
        <f>F97</f>
        <v>3855</v>
      </c>
      <c r="I97" s="9"/>
      <c r="J97" s="9"/>
      <c r="K97" s="9">
        <v>282</v>
      </c>
      <c r="L97" s="9">
        <f>K97</f>
        <v>282</v>
      </c>
      <c r="M97" s="9">
        <f>H97+I97-L97-J97</f>
        <v>3573</v>
      </c>
      <c r="N97" s="27"/>
      <c r="P97" s="259"/>
    </row>
    <row r="98" spans="2:17" s="21" customFormat="1" ht="18" customHeight="1" thickBot="1">
      <c r="B98" s="28" t="s">
        <v>9</v>
      </c>
      <c r="C98" s="29"/>
      <c r="D98" s="29"/>
      <c r="E98" s="316"/>
      <c r="F98" s="510">
        <f t="shared" ref="F98:I98" si="21">SUM(F97:F97)</f>
        <v>3855</v>
      </c>
      <c r="G98" s="510">
        <f t="shared" si="21"/>
        <v>0</v>
      </c>
      <c r="H98" s="510">
        <f>SUM(H97:H97)</f>
        <v>3855</v>
      </c>
      <c r="I98" s="510">
        <f t="shared" si="21"/>
        <v>0</v>
      </c>
      <c r="J98" s="510">
        <f>SUM(J97)</f>
        <v>0</v>
      </c>
      <c r="K98" s="510">
        <f>SUM(K97:K97)</f>
        <v>282</v>
      </c>
      <c r="L98" s="510">
        <f>SUM(L97:L97)</f>
        <v>282</v>
      </c>
      <c r="M98" s="211">
        <f>SUM(M97:M97)</f>
        <v>3573</v>
      </c>
      <c r="N98" s="555"/>
      <c r="O98" s="256">
        <f>H98+I98-L98</f>
        <v>3573</v>
      </c>
      <c r="P98" s="259">
        <f t="shared" si="16"/>
        <v>0</v>
      </c>
    </row>
    <row r="99" spans="2:17" ht="18" customHeight="1" thickTop="1">
      <c r="B99" s="24"/>
      <c r="E99" s="317"/>
      <c r="F99" s="12"/>
      <c r="G99" s="12"/>
      <c r="H99" s="12"/>
      <c r="I99" s="13"/>
      <c r="J99" s="13"/>
      <c r="K99" s="12"/>
      <c r="L99" s="12"/>
      <c r="M99" s="14" t="s">
        <v>46</v>
      </c>
      <c r="N99" s="26"/>
      <c r="P99" s="259"/>
    </row>
    <row r="100" spans="2:17" ht="18" customHeight="1">
      <c r="B100" s="24"/>
      <c r="E100" s="317"/>
      <c r="N100" s="26"/>
      <c r="P100" s="259"/>
    </row>
    <row r="101" spans="2:17" ht="18" customHeight="1">
      <c r="B101" s="30" t="s">
        <v>22</v>
      </c>
      <c r="E101" s="317"/>
      <c r="N101" s="26"/>
      <c r="P101" s="259"/>
    </row>
    <row r="102" spans="2:17" ht="30" customHeight="1">
      <c r="B102" s="16" t="s">
        <v>374</v>
      </c>
      <c r="C102" s="3" t="s">
        <v>40</v>
      </c>
      <c r="D102" s="8" t="s">
        <v>242</v>
      </c>
      <c r="E102" s="314">
        <f>10384/2</f>
        <v>5192</v>
      </c>
      <c r="F102" s="9">
        <v>5400</v>
      </c>
      <c r="G102" s="9">
        <v>0</v>
      </c>
      <c r="H102" s="9">
        <f>F102</f>
        <v>5400</v>
      </c>
      <c r="I102" s="11"/>
      <c r="J102" s="11"/>
      <c r="K102" s="9">
        <v>481</v>
      </c>
      <c r="L102" s="9">
        <f>K102</f>
        <v>481</v>
      </c>
      <c r="M102" s="9">
        <f>H102+I102-L102-J102</f>
        <v>4919</v>
      </c>
      <c r="N102" s="26"/>
      <c r="P102" s="259"/>
    </row>
    <row r="103" spans="2:17" s="21" customFormat="1" ht="18" customHeight="1" thickBot="1">
      <c r="B103" s="28" t="s">
        <v>9</v>
      </c>
      <c r="C103" s="29"/>
      <c r="D103" s="29"/>
      <c r="E103" s="316"/>
      <c r="F103" s="510">
        <f t="shared" ref="F103:M103" si="22">SUM(F102:F102)</f>
        <v>5400</v>
      </c>
      <c r="G103" s="510">
        <f t="shared" si="22"/>
        <v>0</v>
      </c>
      <c r="H103" s="510">
        <f t="shared" si="22"/>
        <v>5400</v>
      </c>
      <c r="I103" s="510">
        <f t="shared" si="22"/>
        <v>0</v>
      </c>
      <c r="J103" s="510">
        <f t="shared" si="22"/>
        <v>0</v>
      </c>
      <c r="K103" s="510">
        <f t="shared" si="22"/>
        <v>481</v>
      </c>
      <c r="L103" s="510">
        <f t="shared" si="22"/>
        <v>481</v>
      </c>
      <c r="M103" s="211">
        <f t="shared" si="22"/>
        <v>4919</v>
      </c>
      <c r="N103" s="553"/>
      <c r="O103" s="256">
        <f>H103+I103-L103</f>
        <v>4919</v>
      </c>
      <c r="P103" s="259">
        <f t="shared" si="16"/>
        <v>0</v>
      </c>
    </row>
    <row r="104" spans="2:17" ht="18" customHeight="1" thickTop="1">
      <c r="B104" s="37"/>
      <c r="C104" s="38"/>
      <c r="D104" s="38"/>
      <c r="E104" s="319"/>
      <c r="F104" s="39"/>
      <c r="G104" s="39"/>
      <c r="H104" s="39"/>
      <c r="I104" s="41"/>
      <c r="J104" s="41"/>
      <c r="K104" s="39"/>
      <c r="L104" s="39"/>
      <c r="M104" s="40" t="s">
        <v>46</v>
      </c>
      <c r="N104" s="27"/>
      <c r="P104" s="259"/>
    </row>
    <row r="105" spans="2:17" ht="18" customHeight="1">
      <c r="E105" s="318"/>
      <c r="F105" s="12"/>
      <c r="G105" s="12"/>
      <c r="H105" s="12"/>
      <c r="I105" s="13"/>
      <c r="J105" s="13"/>
      <c r="K105" s="12"/>
      <c r="L105" s="12"/>
      <c r="M105" s="14"/>
      <c r="P105" s="259"/>
    </row>
    <row r="106" spans="2:17" ht="18" customHeight="1">
      <c r="B106" s="643" t="s">
        <v>206</v>
      </c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5"/>
      <c r="P106" s="259"/>
    </row>
    <row r="107" spans="2:17" ht="18" customHeight="1">
      <c r="B107" s="646" t="s">
        <v>790</v>
      </c>
      <c r="C107" s="647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8"/>
      <c r="P107" s="259"/>
    </row>
    <row r="108" spans="2:17" ht="18" customHeight="1">
      <c r="B108" s="24"/>
      <c r="C108" s="25" t="s">
        <v>0</v>
      </c>
      <c r="D108" s="25"/>
      <c r="E108" s="315"/>
      <c r="N108" s="26"/>
      <c r="P108" s="259"/>
    </row>
    <row r="109" spans="2:17" ht="32.25" customHeight="1" thickBot="1">
      <c r="B109" s="512" t="s">
        <v>1</v>
      </c>
      <c r="C109" s="456" t="s">
        <v>2</v>
      </c>
      <c r="D109" s="456"/>
      <c r="E109" s="457"/>
      <c r="F109" s="456" t="s">
        <v>3</v>
      </c>
      <c r="G109" s="456" t="s">
        <v>4</v>
      </c>
      <c r="H109" s="456" t="s">
        <v>5</v>
      </c>
      <c r="I109" s="456" t="s">
        <v>44</v>
      </c>
      <c r="J109" s="456" t="s">
        <v>561</v>
      </c>
      <c r="K109" s="456" t="s">
        <v>43</v>
      </c>
      <c r="L109" s="456" t="s">
        <v>6</v>
      </c>
      <c r="M109" s="456" t="s">
        <v>7</v>
      </c>
      <c r="N109" s="458" t="s">
        <v>29</v>
      </c>
      <c r="P109" s="259"/>
    </row>
    <row r="110" spans="2:17" ht="18" customHeight="1" thickTop="1">
      <c r="B110" s="30" t="s">
        <v>23</v>
      </c>
      <c r="E110" s="317"/>
      <c r="N110" s="26"/>
      <c r="P110" s="259"/>
    </row>
    <row r="111" spans="2:17" ht="30" customHeight="1">
      <c r="B111" s="16" t="s">
        <v>375</v>
      </c>
      <c r="C111" s="3" t="s">
        <v>413</v>
      </c>
      <c r="D111" s="8" t="s">
        <v>243</v>
      </c>
      <c r="E111" s="314">
        <f>6324/2</f>
        <v>3162</v>
      </c>
      <c r="F111" s="9">
        <v>3288</v>
      </c>
      <c r="G111" s="9">
        <v>0</v>
      </c>
      <c r="H111" s="9">
        <f>F111</f>
        <v>3288</v>
      </c>
      <c r="I111" s="11"/>
      <c r="J111" s="11"/>
      <c r="K111" s="9">
        <v>94</v>
      </c>
      <c r="L111" s="9">
        <f>K111</f>
        <v>94</v>
      </c>
      <c r="M111" s="9">
        <f>H111+I111-L111-J111</f>
        <v>3194</v>
      </c>
      <c r="N111" s="26"/>
      <c r="O111" s="181"/>
      <c r="P111" s="259"/>
    </row>
    <row r="112" spans="2:17" ht="30" customHeight="1">
      <c r="B112" s="16" t="s">
        <v>376</v>
      </c>
      <c r="C112" s="3" t="s">
        <v>414</v>
      </c>
      <c r="D112" s="8" t="s">
        <v>243</v>
      </c>
      <c r="E112" s="314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ref="L112:L115" si="23">K112</f>
        <v>312</v>
      </c>
      <c r="M112" s="9">
        <f t="shared" ref="M112:M114" si="24">H112+I112-L112-J112</f>
        <v>3817</v>
      </c>
      <c r="N112" s="32"/>
      <c r="O112" s="278"/>
      <c r="P112" s="278">
        <v>3524.16</v>
      </c>
      <c r="Q112" s="278"/>
    </row>
    <row r="113" spans="2:16" ht="30" customHeight="1">
      <c r="B113" s="16" t="s">
        <v>377</v>
      </c>
      <c r="C113" s="3" t="s">
        <v>415</v>
      </c>
      <c r="D113" s="8" t="s">
        <v>243</v>
      </c>
      <c r="E113" s="314">
        <f>7940/2</f>
        <v>3970</v>
      </c>
      <c r="F113" s="9">
        <v>4129</v>
      </c>
      <c r="G113" s="9">
        <v>0</v>
      </c>
      <c r="H113" s="9">
        <f>F113</f>
        <v>4129</v>
      </c>
      <c r="I113" s="11"/>
      <c r="J113" s="11"/>
      <c r="K113" s="9">
        <v>312</v>
      </c>
      <c r="L113" s="9">
        <f t="shared" si="23"/>
        <v>312</v>
      </c>
      <c r="M113" s="9">
        <f t="shared" si="24"/>
        <v>3817</v>
      </c>
      <c r="N113" s="26"/>
      <c r="O113" s="278"/>
      <c r="P113" s="278">
        <v>3524.16</v>
      </c>
    </row>
    <row r="114" spans="2:16" ht="30" customHeight="1">
      <c r="B114" s="16" t="s">
        <v>378</v>
      </c>
      <c r="C114" s="3" t="s">
        <v>578</v>
      </c>
      <c r="D114" s="8" t="s">
        <v>243</v>
      </c>
      <c r="E114" s="314">
        <f>7404/2</f>
        <v>3702</v>
      </c>
      <c r="F114" s="9">
        <v>4389</v>
      </c>
      <c r="G114" s="9">
        <v>0</v>
      </c>
      <c r="H114" s="9">
        <f>F114</f>
        <v>4389</v>
      </c>
      <c r="I114" s="11"/>
      <c r="J114" s="11"/>
      <c r="K114" s="9">
        <v>341</v>
      </c>
      <c r="L114" s="9">
        <f t="shared" si="23"/>
        <v>341</v>
      </c>
      <c r="M114" s="9">
        <f t="shared" si="24"/>
        <v>4048</v>
      </c>
      <c r="N114" s="408"/>
      <c r="O114" s="181"/>
      <c r="P114" s="259"/>
    </row>
    <row r="115" spans="2:16" ht="30" customHeight="1">
      <c r="B115" s="16" t="s">
        <v>379</v>
      </c>
      <c r="C115" s="3" t="s">
        <v>416</v>
      </c>
      <c r="D115" s="8" t="s">
        <v>243</v>
      </c>
      <c r="E115" s="314">
        <f>8172/2</f>
        <v>4086</v>
      </c>
      <c r="F115" s="9">
        <v>4249</v>
      </c>
      <c r="G115" s="9">
        <v>0</v>
      </c>
      <c r="H115" s="9">
        <f>F115</f>
        <v>4249</v>
      </c>
      <c r="I115" s="9"/>
      <c r="J115" s="9"/>
      <c r="K115" s="9">
        <v>325</v>
      </c>
      <c r="L115" s="9">
        <f t="shared" si="23"/>
        <v>325</v>
      </c>
      <c r="M115" s="9">
        <f>H115+I115-L115-J115</f>
        <v>3924</v>
      </c>
      <c r="N115" s="32"/>
      <c r="O115" s="181"/>
      <c r="P115" s="259"/>
    </row>
    <row r="116" spans="2:16" s="21" customFormat="1" ht="18" customHeight="1" thickBot="1">
      <c r="B116" s="28" t="s">
        <v>9</v>
      </c>
      <c r="C116" s="29"/>
      <c r="D116" s="29"/>
      <c r="E116" s="316"/>
      <c r="F116" s="510">
        <f>SUM(F111:F115)</f>
        <v>20184</v>
      </c>
      <c r="G116" s="510">
        <f t="shared" ref="G116:M116" si="25">SUM(G111:G115)</f>
        <v>0</v>
      </c>
      <c r="H116" s="510">
        <f t="shared" si="25"/>
        <v>20184</v>
      </c>
      <c r="I116" s="510">
        <f t="shared" si="25"/>
        <v>0</v>
      </c>
      <c r="J116" s="510">
        <f>SUM(J111:J115)</f>
        <v>0</v>
      </c>
      <c r="K116" s="510">
        <f t="shared" si="25"/>
        <v>1384</v>
      </c>
      <c r="L116" s="510">
        <f>SUM(L111:L115)</f>
        <v>1384</v>
      </c>
      <c r="M116" s="211">
        <f t="shared" si="25"/>
        <v>18800</v>
      </c>
      <c r="N116" s="555"/>
      <c r="O116" s="257">
        <f>H116+I116-L116</f>
        <v>18800</v>
      </c>
      <c r="P116" s="259">
        <f t="shared" si="16"/>
        <v>0</v>
      </c>
    </row>
    <row r="117" spans="2:16" ht="18" customHeight="1" thickTop="1">
      <c r="B117" s="24"/>
      <c r="E117" s="317"/>
      <c r="F117" s="12"/>
      <c r="G117" s="12"/>
      <c r="H117" s="12"/>
      <c r="I117" s="13"/>
      <c r="J117" s="13"/>
      <c r="K117" s="12"/>
      <c r="L117" s="12"/>
      <c r="M117" s="14" t="s">
        <v>46</v>
      </c>
      <c r="N117" s="26"/>
      <c r="P117" s="259"/>
    </row>
    <row r="118" spans="2:16" ht="18" customHeight="1">
      <c r="B118" s="24"/>
      <c r="E118" s="317"/>
      <c r="N118" s="26"/>
      <c r="P118" s="259"/>
    </row>
    <row r="119" spans="2:16" ht="18" customHeight="1">
      <c r="B119" s="30" t="s">
        <v>24</v>
      </c>
      <c r="E119" s="317"/>
      <c r="N119" s="26"/>
      <c r="P119" s="259"/>
    </row>
    <row r="120" spans="2:16" ht="18" customHeight="1">
      <c r="B120" s="16" t="s">
        <v>380</v>
      </c>
      <c r="C120" s="3" t="s">
        <v>588</v>
      </c>
      <c r="D120" s="8" t="s">
        <v>589</v>
      </c>
      <c r="E120" s="314">
        <f>12210/2</f>
        <v>6105</v>
      </c>
      <c r="F120" s="387">
        <v>6349</v>
      </c>
      <c r="G120" s="3"/>
      <c r="H120" s="271">
        <f>F120</f>
        <v>6349</v>
      </c>
      <c r="I120" s="3"/>
      <c r="J120" s="387"/>
      <c r="K120" s="3">
        <v>647</v>
      </c>
      <c r="L120" s="3">
        <f>K120</f>
        <v>647</v>
      </c>
      <c r="M120" s="271">
        <f>H120-L120-J120</f>
        <v>5702</v>
      </c>
      <c r="N120" s="26"/>
      <c r="P120" s="259"/>
    </row>
    <row r="121" spans="2:16" ht="30" customHeight="1">
      <c r="B121" s="16" t="s">
        <v>381</v>
      </c>
      <c r="C121" s="3" t="s">
        <v>418</v>
      </c>
      <c r="D121" s="8" t="s">
        <v>239</v>
      </c>
      <c r="E121" s="314">
        <f>7088/2</f>
        <v>3544</v>
      </c>
      <c r="F121" s="9">
        <v>4224</v>
      </c>
      <c r="G121" s="9">
        <v>0</v>
      </c>
      <c r="H121" s="9">
        <f>F121</f>
        <v>4224</v>
      </c>
      <c r="I121" s="11"/>
      <c r="J121" s="11"/>
      <c r="K121" s="9">
        <v>323</v>
      </c>
      <c r="L121" s="22">
        <f>K121</f>
        <v>323</v>
      </c>
      <c r="M121" s="9">
        <f>H121+I121-L121-J121</f>
        <v>3901</v>
      </c>
      <c r="N121" s="32"/>
      <c r="P121" s="259"/>
    </row>
    <row r="122" spans="2:16" s="21" customFormat="1" ht="18" customHeight="1" thickBot="1">
      <c r="B122" s="28" t="s">
        <v>9</v>
      </c>
      <c r="C122" s="29"/>
      <c r="D122" s="29"/>
      <c r="E122" s="316"/>
      <c r="F122" s="510">
        <f>SUM(F120:F121)</f>
        <v>10573</v>
      </c>
      <c r="G122" s="510">
        <f t="shared" ref="G122:I122" si="26">SUM(G121:G121)</f>
        <v>0</v>
      </c>
      <c r="H122" s="510">
        <f>SUM(H120:H121)</f>
        <v>10573</v>
      </c>
      <c r="I122" s="510">
        <f t="shared" si="26"/>
        <v>0</v>
      </c>
      <c r="J122" s="510">
        <f>J120</f>
        <v>0</v>
      </c>
      <c r="K122" s="510">
        <f>SUM(K120:K121)</f>
        <v>970</v>
      </c>
      <c r="L122" s="510">
        <f>SUM(L120:L121)</f>
        <v>970</v>
      </c>
      <c r="M122" s="211">
        <f>SUM(M120:M121)</f>
        <v>9603</v>
      </c>
      <c r="N122" s="555"/>
      <c r="O122" s="256">
        <f>H122+I122-L122</f>
        <v>9603</v>
      </c>
      <c r="P122" s="259">
        <f t="shared" si="16"/>
        <v>0</v>
      </c>
    </row>
    <row r="123" spans="2:16" ht="18" customHeight="1" thickTop="1">
      <c r="B123" s="37"/>
      <c r="C123" s="38"/>
      <c r="D123" s="38"/>
      <c r="E123" s="319"/>
      <c r="F123" s="39"/>
      <c r="G123" s="39"/>
      <c r="H123" s="39"/>
      <c r="I123" s="41"/>
      <c r="J123" s="41"/>
      <c r="K123" s="39"/>
      <c r="L123" s="39"/>
      <c r="M123" s="40" t="s">
        <v>46</v>
      </c>
      <c r="N123" s="27"/>
      <c r="P123" s="259"/>
    </row>
    <row r="124" spans="2:16" ht="18" customHeight="1">
      <c r="E124" s="318"/>
      <c r="P124" s="259"/>
    </row>
    <row r="125" spans="2:16" ht="18" customHeight="1">
      <c r="E125" s="318"/>
      <c r="P125" s="259"/>
    </row>
    <row r="126" spans="2:16" ht="18" customHeight="1">
      <c r="E126" s="318"/>
      <c r="P126" s="259"/>
    </row>
    <row r="127" spans="2:16" ht="18" customHeight="1">
      <c r="E127" s="318"/>
      <c r="P127" s="259"/>
    </row>
    <row r="128" spans="2:16" ht="18" customHeight="1">
      <c r="B128" s="643" t="s">
        <v>206</v>
      </c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5"/>
      <c r="P128" s="259"/>
    </row>
    <row r="129" spans="1:16" ht="18" customHeight="1">
      <c r="B129" s="646" t="s">
        <v>791</v>
      </c>
      <c r="C129" s="647"/>
      <c r="D129" s="647"/>
      <c r="E129" s="647"/>
      <c r="F129" s="647"/>
      <c r="G129" s="647"/>
      <c r="H129" s="647"/>
      <c r="I129" s="647"/>
      <c r="J129" s="647"/>
      <c r="K129" s="647"/>
      <c r="L129" s="647"/>
      <c r="M129" s="647"/>
      <c r="N129" s="648"/>
      <c r="P129" s="259"/>
    </row>
    <row r="130" spans="1:16" ht="18" customHeight="1">
      <c r="B130" s="24"/>
      <c r="C130" s="25" t="s">
        <v>0</v>
      </c>
      <c r="D130" s="25"/>
      <c r="E130" s="315"/>
      <c r="N130" s="26"/>
      <c r="P130" s="259"/>
    </row>
    <row r="131" spans="1:16" ht="33.75" customHeight="1" thickBot="1">
      <c r="B131" s="512" t="s">
        <v>1</v>
      </c>
      <c r="C131" s="456" t="s">
        <v>2</v>
      </c>
      <c r="D131" s="456"/>
      <c r="E131" s="457"/>
      <c r="F131" s="456" t="s">
        <v>3</v>
      </c>
      <c r="G131" s="456" t="s">
        <v>4</v>
      </c>
      <c r="H131" s="456" t="s">
        <v>5</v>
      </c>
      <c r="I131" s="456" t="s">
        <v>44</v>
      </c>
      <c r="J131" s="456" t="s">
        <v>561</v>
      </c>
      <c r="K131" s="456" t="s">
        <v>43</v>
      </c>
      <c r="L131" s="456" t="s">
        <v>6</v>
      </c>
      <c r="M131" s="456" t="s">
        <v>7</v>
      </c>
      <c r="N131" s="458" t="s">
        <v>29</v>
      </c>
      <c r="P131" s="259"/>
    </row>
    <row r="132" spans="1:16" ht="18" customHeight="1" thickTop="1">
      <c r="B132" s="30" t="s">
        <v>25</v>
      </c>
      <c r="E132" s="317"/>
      <c r="N132" s="26"/>
      <c r="P132" s="259"/>
    </row>
    <row r="133" spans="1:16" s="575" customFormat="1" ht="35.1" customHeight="1">
      <c r="A133" s="15"/>
      <c r="B133" s="16" t="s">
        <v>382</v>
      </c>
      <c r="C133" s="249" t="s">
        <v>642</v>
      </c>
      <c r="D133" s="8" t="s">
        <v>244</v>
      </c>
      <c r="E133" s="314">
        <f>13768/2</f>
        <v>6884</v>
      </c>
      <c r="F133" s="9">
        <v>7659</v>
      </c>
      <c r="G133" s="9">
        <v>0</v>
      </c>
      <c r="H133" s="9">
        <f>F133</f>
        <v>7659</v>
      </c>
      <c r="I133" s="9"/>
      <c r="J133" s="9"/>
      <c r="K133" s="9">
        <v>915</v>
      </c>
      <c r="L133" s="9">
        <f>K133</f>
        <v>915</v>
      </c>
      <c r="M133" s="9">
        <f t="shared" ref="M133:M137" si="27">H133+I133-L133-J133</f>
        <v>6744</v>
      </c>
      <c r="N133" s="27"/>
      <c r="O133" s="15"/>
      <c r="P133" s="259"/>
    </row>
    <row r="134" spans="1:16" ht="35.1" customHeight="1">
      <c r="B134" s="16" t="s">
        <v>383</v>
      </c>
      <c r="C134" s="3" t="s">
        <v>252</v>
      </c>
      <c r="D134" s="8" t="s">
        <v>246</v>
      </c>
      <c r="E134" s="314">
        <f>6252/2</f>
        <v>3126</v>
      </c>
      <c r="F134" s="9">
        <v>3251</v>
      </c>
      <c r="G134" s="9">
        <v>0</v>
      </c>
      <c r="H134" s="9">
        <f t="shared" ref="H134:H139" si="28">F134</f>
        <v>3251</v>
      </c>
      <c r="I134" s="11"/>
      <c r="J134" s="11"/>
      <c r="K134" s="9">
        <v>90</v>
      </c>
      <c r="L134" s="9">
        <f t="shared" ref="L134:L139" si="29">K134</f>
        <v>90</v>
      </c>
      <c r="M134" s="9">
        <f t="shared" si="27"/>
        <v>3161</v>
      </c>
      <c r="N134" s="9"/>
      <c r="P134" s="259"/>
    </row>
    <row r="135" spans="1:16" ht="35.1" customHeight="1">
      <c r="B135" s="16" t="s">
        <v>384</v>
      </c>
      <c r="C135" s="3" t="s">
        <v>251</v>
      </c>
      <c r="D135" s="8" t="s">
        <v>247</v>
      </c>
      <c r="E135" s="314">
        <f>8102/2</f>
        <v>4051</v>
      </c>
      <c r="F135" s="9">
        <v>4213</v>
      </c>
      <c r="G135" s="9">
        <v>0</v>
      </c>
      <c r="H135" s="9">
        <f t="shared" si="28"/>
        <v>4213</v>
      </c>
      <c r="I135" s="9"/>
      <c r="J135" s="9"/>
      <c r="K135" s="9">
        <v>321</v>
      </c>
      <c r="L135" s="9">
        <f>J135+K135</f>
        <v>321</v>
      </c>
      <c r="M135" s="9">
        <f>H135-L135</f>
        <v>3892</v>
      </c>
      <c r="N135" s="9"/>
      <c r="P135" s="259"/>
    </row>
    <row r="136" spans="1:16" ht="35.1" customHeight="1">
      <c r="B136" s="16" t="s">
        <v>385</v>
      </c>
      <c r="C136" s="3" t="s">
        <v>579</v>
      </c>
      <c r="D136" s="8" t="s">
        <v>239</v>
      </c>
      <c r="E136" s="314">
        <f>7170/2</f>
        <v>3585</v>
      </c>
      <c r="F136" s="9">
        <v>3728</v>
      </c>
      <c r="G136" s="9">
        <v>0</v>
      </c>
      <c r="H136" s="9">
        <f t="shared" si="28"/>
        <v>3728</v>
      </c>
      <c r="I136" s="11"/>
      <c r="J136" s="11"/>
      <c r="K136" s="9">
        <v>269</v>
      </c>
      <c r="L136" s="9">
        <f t="shared" si="29"/>
        <v>269</v>
      </c>
      <c r="M136" s="9">
        <f t="shared" si="27"/>
        <v>3459</v>
      </c>
      <c r="N136" s="9"/>
      <c r="P136" s="259"/>
    </row>
    <row r="137" spans="1:16" ht="35.1" customHeight="1">
      <c r="B137" s="16" t="s">
        <v>386</v>
      </c>
      <c r="C137" s="3" t="s">
        <v>249</v>
      </c>
      <c r="D137" s="8" t="s">
        <v>239</v>
      </c>
      <c r="E137" s="314">
        <f>6280/2</f>
        <v>3140</v>
      </c>
      <c r="F137" s="9">
        <v>3266</v>
      </c>
      <c r="G137" s="9">
        <v>0</v>
      </c>
      <c r="H137" s="9">
        <f t="shared" si="28"/>
        <v>3266</v>
      </c>
      <c r="I137" s="11"/>
      <c r="J137" s="11"/>
      <c r="K137" s="9">
        <v>92</v>
      </c>
      <c r="L137" s="9">
        <f t="shared" si="29"/>
        <v>92</v>
      </c>
      <c r="M137" s="9">
        <f t="shared" si="27"/>
        <v>3174</v>
      </c>
      <c r="N137" s="9"/>
      <c r="P137" s="259"/>
    </row>
    <row r="138" spans="1:16" ht="35.1" customHeight="1">
      <c r="B138" s="16" t="s">
        <v>387</v>
      </c>
      <c r="C138" s="3" t="s">
        <v>568</v>
      </c>
      <c r="D138" s="8" t="s">
        <v>247</v>
      </c>
      <c r="E138" s="314">
        <f>7160/2</f>
        <v>3580</v>
      </c>
      <c r="F138" s="9">
        <v>3723</v>
      </c>
      <c r="G138" s="9">
        <v>0</v>
      </c>
      <c r="H138" s="9">
        <f t="shared" si="28"/>
        <v>3723</v>
      </c>
      <c r="I138" s="11"/>
      <c r="J138" s="11"/>
      <c r="K138" s="9">
        <v>268</v>
      </c>
      <c r="L138" s="9">
        <f t="shared" si="29"/>
        <v>268</v>
      </c>
      <c r="M138" s="9">
        <f t="shared" ref="M138" si="30">H138+I138-L138-J138</f>
        <v>3455</v>
      </c>
      <c r="N138" s="9"/>
      <c r="P138" s="259"/>
    </row>
    <row r="139" spans="1:16" ht="35.1" customHeight="1">
      <c r="B139" s="16" t="s">
        <v>388</v>
      </c>
      <c r="C139" s="3" t="s">
        <v>248</v>
      </c>
      <c r="D139" s="8" t="s">
        <v>247</v>
      </c>
      <c r="E139" s="314">
        <f>7160/2</f>
        <v>3580</v>
      </c>
      <c r="F139" s="9">
        <v>3723</v>
      </c>
      <c r="G139" s="9">
        <v>0</v>
      </c>
      <c r="H139" s="9">
        <f t="shared" si="28"/>
        <v>3723</v>
      </c>
      <c r="I139" s="11"/>
      <c r="J139" s="11"/>
      <c r="K139" s="9">
        <v>268</v>
      </c>
      <c r="L139" s="9">
        <f t="shared" si="29"/>
        <v>268</v>
      </c>
      <c r="M139" s="9">
        <f>H139+I139-L139-J139</f>
        <v>3455</v>
      </c>
      <c r="N139" s="9"/>
      <c r="P139" s="259"/>
    </row>
    <row r="140" spans="1:16" s="21" customFormat="1" ht="18" customHeight="1" thickBot="1">
      <c r="B140" s="28" t="s">
        <v>9</v>
      </c>
      <c r="C140" s="29"/>
      <c r="D140" s="29"/>
      <c r="E140" s="316"/>
      <c r="F140" s="510">
        <f t="shared" ref="F140:M140" si="31">SUM(F133:F139)</f>
        <v>29563</v>
      </c>
      <c r="G140" s="510">
        <f t="shared" si="31"/>
        <v>0</v>
      </c>
      <c r="H140" s="510">
        <f t="shared" si="31"/>
        <v>29563</v>
      </c>
      <c r="I140" s="510">
        <f t="shared" si="31"/>
        <v>0</v>
      </c>
      <c r="J140" s="510">
        <f t="shared" si="31"/>
        <v>0</v>
      </c>
      <c r="K140" s="510">
        <f t="shared" si="31"/>
        <v>2223</v>
      </c>
      <c r="L140" s="510">
        <f t="shared" si="31"/>
        <v>2223</v>
      </c>
      <c r="M140" s="211">
        <f t="shared" si="31"/>
        <v>27340</v>
      </c>
      <c r="N140" s="557"/>
      <c r="O140" s="256">
        <f>H140+I140-L140-J140</f>
        <v>27340</v>
      </c>
      <c r="P140" s="259">
        <f t="shared" ref="P140:P168" si="32">M140-O140</f>
        <v>0</v>
      </c>
    </row>
    <row r="141" spans="1:16" ht="18" customHeight="1" thickTop="1">
      <c r="B141" s="24"/>
      <c r="E141" s="317"/>
      <c r="F141" s="12"/>
      <c r="G141" s="12"/>
      <c r="H141" s="12"/>
      <c r="I141" s="13"/>
      <c r="J141" s="13"/>
      <c r="K141" s="12"/>
      <c r="L141" s="12"/>
      <c r="M141" s="44" t="s">
        <v>46</v>
      </c>
      <c r="N141" s="26"/>
      <c r="P141" s="259"/>
    </row>
    <row r="142" spans="1:16" ht="18" customHeight="1">
      <c r="B142" s="37"/>
      <c r="C142" s="38"/>
      <c r="D142" s="38"/>
      <c r="E142" s="319"/>
      <c r="F142" s="38"/>
      <c r="G142" s="38"/>
      <c r="H142" s="38"/>
      <c r="I142" s="38"/>
      <c r="J142" s="38"/>
      <c r="K142" s="38"/>
      <c r="L142" s="38"/>
      <c r="M142" s="38"/>
      <c r="N142" s="27"/>
      <c r="P142" s="259"/>
    </row>
    <row r="143" spans="1:16" ht="18" customHeight="1">
      <c r="E143" s="318"/>
      <c r="P143" s="259"/>
    </row>
    <row r="144" spans="1:16" ht="18" customHeight="1">
      <c r="E144" s="318"/>
      <c r="P144" s="259"/>
    </row>
    <row r="145" spans="2:16" ht="18" customHeight="1">
      <c r="E145" s="318"/>
      <c r="P145" s="259"/>
    </row>
    <row r="146" spans="2:16" ht="18" customHeight="1">
      <c r="B146" s="643" t="s">
        <v>206</v>
      </c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5"/>
      <c r="P146" s="259"/>
    </row>
    <row r="147" spans="2:16" ht="18" customHeight="1">
      <c r="B147" s="646" t="s">
        <v>791</v>
      </c>
      <c r="C147" s="647"/>
      <c r="D147" s="647"/>
      <c r="E147" s="647"/>
      <c r="F147" s="647"/>
      <c r="G147" s="647"/>
      <c r="H147" s="647"/>
      <c r="I147" s="647"/>
      <c r="J147" s="647"/>
      <c r="K147" s="647"/>
      <c r="L147" s="647"/>
      <c r="M147" s="647"/>
      <c r="N147" s="648"/>
      <c r="P147" s="259"/>
    </row>
    <row r="148" spans="2:16" ht="18" customHeight="1">
      <c r="B148" s="24"/>
      <c r="C148" s="25" t="s">
        <v>0</v>
      </c>
      <c r="D148" s="25"/>
      <c r="E148" s="315"/>
      <c r="N148" s="26"/>
      <c r="P148" s="259"/>
    </row>
    <row r="149" spans="2:16" ht="36.75" customHeight="1" thickBot="1">
      <c r="B149" s="512" t="s">
        <v>1</v>
      </c>
      <c r="C149" s="456" t="s">
        <v>2</v>
      </c>
      <c r="D149" s="456"/>
      <c r="E149" s="457"/>
      <c r="F149" s="456" t="s">
        <v>3</v>
      </c>
      <c r="G149" s="456" t="s">
        <v>4</v>
      </c>
      <c r="H149" s="456" t="s">
        <v>5</v>
      </c>
      <c r="I149" s="456" t="s">
        <v>44</v>
      </c>
      <c r="J149" s="456" t="s">
        <v>561</v>
      </c>
      <c r="K149" s="456" t="s">
        <v>43</v>
      </c>
      <c r="L149" s="456" t="s">
        <v>6</v>
      </c>
      <c r="M149" s="456" t="s">
        <v>7</v>
      </c>
      <c r="N149" s="458" t="s">
        <v>29</v>
      </c>
      <c r="P149" s="259"/>
    </row>
    <row r="150" spans="2:16" ht="18" customHeight="1" thickTop="1">
      <c r="B150" s="30" t="s">
        <v>26</v>
      </c>
      <c r="E150" s="317"/>
      <c r="N150" s="26"/>
      <c r="P150" s="259"/>
    </row>
    <row r="151" spans="2:16" ht="30" customHeight="1">
      <c r="B151" s="16" t="s">
        <v>389</v>
      </c>
      <c r="C151" s="3" t="s">
        <v>625</v>
      </c>
      <c r="D151" s="8" t="s">
        <v>253</v>
      </c>
      <c r="E151" s="314">
        <f>6376/2</f>
        <v>3188</v>
      </c>
      <c r="F151" s="9">
        <v>3316</v>
      </c>
      <c r="G151" s="9">
        <v>0</v>
      </c>
      <c r="H151" s="9">
        <f>F151</f>
        <v>3316</v>
      </c>
      <c r="I151" s="11"/>
      <c r="J151" s="11"/>
      <c r="K151" s="9">
        <v>97</v>
      </c>
      <c r="L151" s="9">
        <f>K151</f>
        <v>97</v>
      </c>
      <c r="M151" s="9">
        <f>H151+I151-L151-J151</f>
        <v>3219</v>
      </c>
      <c r="N151" s="27"/>
      <c r="P151" s="259"/>
    </row>
    <row r="152" spans="2:16" ht="30" customHeight="1">
      <c r="B152" s="16" t="s">
        <v>390</v>
      </c>
      <c r="C152" s="3" t="s">
        <v>581</v>
      </c>
      <c r="D152" s="8" t="s">
        <v>254</v>
      </c>
      <c r="E152" s="314">
        <f>10384/2</f>
        <v>5192</v>
      </c>
      <c r="F152" s="9">
        <v>5400</v>
      </c>
      <c r="G152" s="9">
        <v>0</v>
      </c>
      <c r="H152" s="9">
        <f>F152</f>
        <v>5400</v>
      </c>
      <c r="I152" s="9"/>
      <c r="J152" s="9"/>
      <c r="K152" s="9">
        <v>481</v>
      </c>
      <c r="L152" s="9">
        <f>K152</f>
        <v>481</v>
      </c>
      <c r="M152" s="9">
        <f>H152+I152-L152-J152</f>
        <v>4919</v>
      </c>
      <c r="N152" s="26"/>
      <c r="P152" s="259"/>
    </row>
    <row r="153" spans="2:16" s="21" customFormat="1" ht="30" customHeight="1" thickBot="1">
      <c r="B153" s="28" t="s">
        <v>9</v>
      </c>
      <c r="C153" s="29"/>
      <c r="D153" s="29"/>
      <c r="E153" s="316"/>
      <c r="F153" s="510">
        <f>SUM(F151:F152)</f>
        <v>8716</v>
      </c>
      <c r="G153" s="510">
        <f t="shared" ref="G153:I153" si="33">SUM(G151:G152)</f>
        <v>0</v>
      </c>
      <c r="H153" s="510">
        <f>SUM(H151:H152)</f>
        <v>8716</v>
      </c>
      <c r="I153" s="510">
        <f t="shared" si="33"/>
        <v>0</v>
      </c>
      <c r="J153" s="510">
        <f>SUM(J151:J152)</f>
        <v>0</v>
      </c>
      <c r="K153" s="510">
        <f>SUM(K151:K152)</f>
        <v>578</v>
      </c>
      <c r="L153" s="510">
        <f>SUM(L151:L152)</f>
        <v>578</v>
      </c>
      <c r="M153" s="211">
        <f>SUM(M151:M152)</f>
        <v>8138</v>
      </c>
      <c r="N153" s="553"/>
      <c r="O153" s="256">
        <f>H153+I153-L153</f>
        <v>8138</v>
      </c>
      <c r="P153" s="259">
        <f t="shared" si="32"/>
        <v>0</v>
      </c>
    </row>
    <row r="154" spans="2:16" ht="18" customHeight="1" thickTop="1">
      <c r="B154" s="24"/>
      <c r="E154" s="317"/>
      <c r="F154" s="12"/>
      <c r="G154" s="12"/>
      <c r="H154" s="12"/>
      <c r="I154" s="13"/>
      <c r="J154" s="13"/>
      <c r="K154" s="12"/>
      <c r="L154" s="12"/>
      <c r="M154" s="14" t="s">
        <v>46</v>
      </c>
      <c r="N154" s="26"/>
      <c r="P154" s="259"/>
    </row>
    <row r="155" spans="2:16" ht="18" customHeight="1">
      <c r="B155" s="24"/>
      <c r="E155" s="317"/>
      <c r="N155" s="26"/>
      <c r="P155" s="259"/>
    </row>
    <row r="156" spans="2:16" ht="18" customHeight="1">
      <c r="B156" s="30" t="s">
        <v>541</v>
      </c>
      <c r="E156" s="317"/>
      <c r="N156" s="26"/>
      <c r="P156" s="259"/>
    </row>
    <row r="157" spans="2:16" ht="30" customHeight="1">
      <c r="B157" s="16" t="s">
        <v>391</v>
      </c>
      <c r="C157" s="3" t="s">
        <v>768</v>
      </c>
      <c r="D157" s="8" t="s">
        <v>255</v>
      </c>
      <c r="E157" s="314">
        <f>13508/2</f>
        <v>6754</v>
      </c>
      <c r="F157" s="387">
        <v>7024</v>
      </c>
      <c r="G157" s="22">
        <v>0</v>
      </c>
      <c r="H157" s="22">
        <f>F157</f>
        <v>7024</v>
      </c>
      <c r="I157" s="22"/>
      <c r="J157" s="22">
        <v>0</v>
      </c>
      <c r="K157" s="22">
        <v>780</v>
      </c>
      <c r="L157" s="22">
        <f>K157</f>
        <v>780</v>
      </c>
      <c r="M157" s="22">
        <f>H157+I157-L157-J157</f>
        <v>6244</v>
      </c>
      <c r="N157" s="27"/>
      <c r="O157" s="15" t="s">
        <v>769</v>
      </c>
      <c r="P157" s="259"/>
    </row>
    <row r="158" spans="2:16" s="21" customFormat="1" ht="30" customHeight="1" thickBot="1">
      <c r="B158" s="28" t="s">
        <v>9</v>
      </c>
      <c r="C158" s="29"/>
      <c r="D158" s="29"/>
      <c r="E158" s="316"/>
      <c r="F158" s="556">
        <f>SUM(F157)</f>
        <v>7024</v>
      </c>
      <c r="G158" s="556">
        <f t="shared" ref="G158:M158" si="34">SUM(G157)</f>
        <v>0</v>
      </c>
      <c r="H158" s="556">
        <f>SUM(H157)</f>
        <v>7024</v>
      </c>
      <c r="I158" s="556">
        <f t="shared" si="34"/>
        <v>0</v>
      </c>
      <c r="J158" s="556">
        <f>SUM(J157)</f>
        <v>0</v>
      </c>
      <c r="K158" s="556">
        <f>SUM(K157)</f>
        <v>780</v>
      </c>
      <c r="L158" s="556">
        <f>SUM(L157)</f>
        <v>780</v>
      </c>
      <c r="M158" s="538">
        <f t="shared" si="34"/>
        <v>6244</v>
      </c>
      <c r="N158" s="555"/>
      <c r="O158" s="259">
        <f>H158+I158-L158</f>
        <v>6244</v>
      </c>
      <c r="P158" s="259">
        <f t="shared" si="32"/>
        <v>0</v>
      </c>
    </row>
    <row r="159" spans="2:16" ht="18" customHeight="1" thickTop="1">
      <c r="B159" s="24"/>
      <c r="E159" s="317"/>
      <c r="F159" s="12"/>
      <c r="G159" s="12"/>
      <c r="H159" s="12"/>
      <c r="I159" s="12"/>
      <c r="J159" s="12"/>
      <c r="K159" s="12"/>
      <c r="L159" s="12"/>
      <c r="M159" s="14" t="s">
        <v>46</v>
      </c>
      <c r="N159" s="26"/>
      <c r="P159" s="259"/>
    </row>
    <row r="160" spans="2:16" ht="18" customHeight="1">
      <c r="B160" s="24"/>
      <c r="E160" s="317"/>
      <c r="F160" s="12"/>
      <c r="G160" s="12"/>
      <c r="H160" s="12"/>
      <c r="I160" s="12"/>
      <c r="J160" s="12"/>
      <c r="K160" s="12"/>
      <c r="L160" s="12"/>
      <c r="M160" s="14"/>
      <c r="N160" s="26"/>
      <c r="P160" s="259"/>
    </row>
    <row r="161" spans="1:79" ht="18" customHeight="1">
      <c r="B161" s="643" t="s">
        <v>206</v>
      </c>
      <c r="C161" s="644"/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5"/>
      <c r="P161" s="259"/>
    </row>
    <row r="162" spans="1:79" ht="18" customHeight="1">
      <c r="B162" s="646" t="s">
        <v>792</v>
      </c>
      <c r="C162" s="647"/>
      <c r="D162" s="647"/>
      <c r="E162" s="647"/>
      <c r="F162" s="647"/>
      <c r="G162" s="647"/>
      <c r="H162" s="647"/>
      <c r="I162" s="647"/>
      <c r="J162" s="647"/>
      <c r="K162" s="647"/>
      <c r="L162" s="647"/>
      <c r="M162" s="647"/>
      <c r="N162" s="648"/>
      <c r="P162" s="259"/>
    </row>
    <row r="163" spans="1:79" ht="18" customHeight="1">
      <c r="B163" s="24"/>
      <c r="C163" s="25" t="s">
        <v>0</v>
      </c>
      <c r="D163" s="25"/>
      <c r="E163" s="315"/>
      <c r="N163" s="26"/>
      <c r="P163" s="259"/>
    </row>
    <row r="164" spans="1:79" ht="18" customHeight="1">
      <c r="B164" s="24"/>
      <c r="N164" s="26"/>
      <c r="P164" s="259"/>
    </row>
    <row r="165" spans="1:79" ht="18" customHeight="1">
      <c r="B165" s="30" t="s">
        <v>762</v>
      </c>
      <c r="E165" s="317"/>
      <c r="N165" s="26"/>
      <c r="P165" s="259"/>
    </row>
    <row r="166" spans="1:79" s="575" customFormat="1" ht="18" customHeight="1">
      <c r="A166" s="576"/>
      <c r="B166" s="16" t="s">
        <v>760</v>
      </c>
      <c r="C166" s="3" t="s">
        <v>739</v>
      </c>
      <c r="D166" s="8" t="s">
        <v>233</v>
      </c>
      <c r="E166" s="314">
        <f>12210/2</f>
        <v>6105</v>
      </c>
      <c r="F166" s="9">
        <v>6349</v>
      </c>
      <c r="G166" s="9">
        <v>0</v>
      </c>
      <c r="H166" s="9">
        <f>F166</f>
        <v>6349</v>
      </c>
      <c r="I166" s="9"/>
      <c r="J166" s="9"/>
      <c r="K166" s="9">
        <v>647</v>
      </c>
      <c r="L166" s="9">
        <f>K166</f>
        <v>647</v>
      </c>
      <c r="M166" s="9">
        <f>H166+I166-L166-J166</f>
        <v>5702</v>
      </c>
      <c r="N166" s="589"/>
      <c r="O166" s="15"/>
      <c r="P166" s="259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</row>
    <row r="167" spans="1:79" s="575" customFormat="1" ht="18" customHeight="1">
      <c r="A167" s="576"/>
      <c r="B167" s="16"/>
      <c r="C167" s="3"/>
      <c r="D167" s="8"/>
      <c r="E167" s="314"/>
      <c r="F167" s="9"/>
      <c r="G167" s="9"/>
      <c r="H167" s="9"/>
      <c r="I167" s="9"/>
      <c r="J167" s="9"/>
      <c r="K167" s="9"/>
      <c r="L167" s="9"/>
      <c r="M167" s="9"/>
      <c r="N167" s="387"/>
      <c r="O167" s="15"/>
      <c r="P167" s="259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</row>
    <row r="168" spans="1:79" ht="18" customHeight="1" thickBot="1">
      <c r="B168" s="28" t="s">
        <v>9</v>
      </c>
      <c r="C168" s="29"/>
      <c r="D168" s="29"/>
      <c r="E168" s="316"/>
      <c r="F168" s="510">
        <f>SUM(F166:F167)</f>
        <v>6349</v>
      </c>
      <c r="G168" s="510">
        <f t="shared" ref="G168:I168" si="35">SUM(G166:G166)</f>
        <v>0</v>
      </c>
      <c r="H168" s="510">
        <f>SUM(H166:H167)</f>
        <v>6349</v>
      </c>
      <c r="I168" s="510">
        <f t="shared" si="35"/>
        <v>0</v>
      </c>
      <c r="J168" s="510">
        <f>SUM(J166)</f>
        <v>0</v>
      </c>
      <c r="K168" s="510">
        <f>SUM(K166:K167)</f>
        <v>647</v>
      </c>
      <c r="L168" s="510">
        <f>SUM(L166:L167)</f>
        <v>647</v>
      </c>
      <c r="M168" s="211">
        <f>SUM(M166:M167)</f>
        <v>5702</v>
      </c>
      <c r="N168" s="555"/>
      <c r="O168" s="255">
        <f>H168+I168-L168</f>
        <v>5702</v>
      </c>
      <c r="P168" s="259">
        <f t="shared" si="32"/>
        <v>0</v>
      </c>
    </row>
    <row r="169" spans="1:79" ht="18" customHeight="1" thickTop="1">
      <c r="B169" s="37"/>
      <c r="C169" s="38"/>
      <c r="D169" s="38"/>
      <c r="E169" s="319"/>
      <c r="F169" s="39"/>
      <c r="G169" s="39"/>
      <c r="H169" s="39"/>
      <c r="I169" s="41"/>
      <c r="J169" s="41"/>
      <c r="K169" s="39"/>
      <c r="L169" s="39"/>
      <c r="M169" s="40" t="s">
        <v>46</v>
      </c>
      <c r="N169" s="27"/>
      <c r="P169" s="259"/>
    </row>
    <row r="170" spans="1:79" ht="18" customHeight="1">
      <c r="B170" s="24"/>
      <c r="C170" s="25" t="s">
        <v>0</v>
      </c>
      <c r="D170" s="25"/>
      <c r="E170" s="315"/>
      <c r="N170" s="26"/>
      <c r="P170" s="259"/>
    </row>
    <row r="171" spans="1:79" ht="36.75" customHeight="1" thickBot="1">
      <c r="B171" s="512" t="s">
        <v>1</v>
      </c>
      <c r="C171" s="456" t="s">
        <v>2</v>
      </c>
      <c r="D171" s="456"/>
      <c r="E171" s="457"/>
      <c r="F171" s="456" t="s">
        <v>3</v>
      </c>
      <c r="G171" s="456" t="s">
        <v>4</v>
      </c>
      <c r="H171" s="456" t="s">
        <v>5</v>
      </c>
      <c r="I171" s="456" t="s">
        <v>44</v>
      </c>
      <c r="J171" s="456" t="s">
        <v>561</v>
      </c>
      <c r="K171" s="456" t="s">
        <v>43</v>
      </c>
      <c r="L171" s="456" t="s">
        <v>6</v>
      </c>
      <c r="M171" s="456" t="s">
        <v>7</v>
      </c>
      <c r="N171" s="458" t="s">
        <v>29</v>
      </c>
      <c r="P171" s="259"/>
    </row>
    <row r="172" spans="1:79" ht="18" customHeight="1" thickTop="1">
      <c r="B172" s="30" t="s">
        <v>763</v>
      </c>
      <c r="E172" s="322"/>
      <c r="N172" s="26"/>
      <c r="P172" s="259"/>
    </row>
    <row r="173" spans="1:79" ht="30" customHeight="1">
      <c r="B173" s="16" t="s">
        <v>778</v>
      </c>
      <c r="C173" s="3" t="s">
        <v>580</v>
      </c>
      <c r="D173" s="8" t="s">
        <v>233</v>
      </c>
      <c r="E173" s="314">
        <f>10384/2</f>
        <v>5192</v>
      </c>
      <c r="F173" s="9">
        <v>5400</v>
      </c>
      <c r="G173" s="9">
        <v>0</v>
      </c>
      <c r="H173" s="9">
        <f>F173</f>
        <v>5400</v>
      </c>
      <c r="I173" s="9"/>
      <c r="J173" s="9"/>
      <c r="K173" s="9">
        <v>481</v>
      </c>
      <c r="L173" s="9">
        <f>K173</f>
        <v>481</v>
      </c>
      <c r="M173" s="9">
        <f>H173+I173-L173-J173</f>
        <v>4919</v>
      </c>
      <c r="N173" s="610"/>
      <c r="P173" s="259"/>
    </row>
    <row r="174" spans="1:79" s="21" customFormat="1" ht="30" customHeight="1" thickBot="1">
      <c r="B174" s="28" t="s">
        <v>9</v>
      </c>
      <c r="C174" s="29"/>
      <c r="D174" s="29"/>
      <c r="E174" s="320"/>
      <c r="F174" s="554">
        <f>SUM(F173)</f>
        <v>5400</v>
      </c>
      <c r="G174" s="554">
        <f t="shared" ref="G174:I174" si="36">SUM(G173)</f>
        <v>0</v>
      </c>
      <c r="H174" s="554">
        <f>SUM(H173)</f>
        <v>5400</v>
      </c>
      <c r="I174" s="554">
        <f t="shared" si="36"/>
        <v>0</v>
      </c>
      <c r="J174" s="554">
        <f>SUM(J173)</f>
        <v>0</v>
      </c>
      <c r="K174" s="554">
        <f>SUM(K173)</f>
        <v>481</v>
      </c>
      <c r="L174" s="554">
        <f>SUM(L173)</f>
        <v>481</v>
      </c>
      <c r="M174" s="539">
        <f>SUM(M173)</f>
        <v>4919</v>
      </c>
      <c r="N174" s="553"/>
      <c r="O174" s="256">
        <f>H174+I174-L174</f>
        <v>4919</v>
      </c>
      <c r="P174" s="259">
        <f t="shared" ref="P174" si="37">M174-O174</f>
        <v>0</v>
      </c>
    </row>
    <row r="175" spans="1:79" ht="18" customHeight="1" thickTop="1">
      <c r="B175" s="24"/>
      <c r="E175" s="322"/>
      <c r="F175" s="12"/>
      <c r="G175" s="12"/>
      <c r="H175" s="12"/>
      <c r="I175" s="12"/>
      <c r="J175" s="12"/>
      <c r="K175" s="12"/>
      <c r="L175" s="12"/>
      <c r="M175" s="12"/>
      <c r="N175" s="26"/>
      <c r="P175" s="259"/>
    </row>
    <row r="176" spans="1:79" ht="18" customHeight="1">
      <c r="B176" s="24"/>
      <c r="C176" s="25" t="s">
        <v>0</v>
      </c>
      <c r="D176" s="25"/>
      <c r="E176" s="315"/>
      <c r="N176" s="26"/>
      <c r="P176" s="259"/>
    </row>
    <row r="177" spans="1:17" ht="36.75" customHeight="1" thickBot="1">
      <c r="B177" s="512" t="s">
        <v>1</v>
      </c>
      <c r="C177" s="456" t="s">
        <v>2</v>
      </c>
      <c r="D177" s="456"/>
      <c r="E177" s="457"/>
      <c r="F177" s="456" t="s">
        <v>3</v>
      </c>
      <c r="G177" s="456" t="s">
        <v>4</v>
      </c>
      <c r="H177" s="456" t="s">
        <v>5</v>
      </c>
      <c r="I177" s="456" t="s">
        <v>44</v>
      </c>
      <c r="J177" s="456" t="s">
        <v>561</v>
      </c>
      <c r="K177" s="456" t="s">
        <v>43</v>
      </c>
      <c r="L177" s="456" t="s">
        <v>6</v>
      </c>
      <c r="M177" s="456" t="s">
        <v>7</v>
      </c>
      <c r="N177" s="458" t="s">
        <v>29</v>
      </c>
      <c r="P177" s="259"/>
    </row>
    <row r="178" spans="1:17" s="21" customFormat="1" ht="18.75" customHeight="1" thickTop="1">
      <c r="B178" s="30" t="s">
        <v>764</v>
      </c>
      <c r="C178" s="15"/>
      <c r="D178" s="15"/>
      <c r="E178" s="322"/>
      <c r="F178" s="15"/>
      <c r="G178" s="15"/>
      <c r="H178" s="15"/>
      <c r="I178" s="15"/>
      <c r="J178" s="15"/>
      <c r="K178" s="15"/>
      <c r="L178" s="15"/>
      <c r="M178" s="15"/>
      <c r="N178" s="36"/>
      <c r="P178" s="259"/>
    </row>
    <row r="179" spans="1:17" s="21" customFormat="1" ht="18.75" customHeight="1">
      <c r="B179" s="16" t="s">
        <v>800</v>
      </c>
      <c r="C179" s="218" t="s">
        <v>431</v>
      </c>
      <c r="D179" s="8" t="s">
        <v>536</v>
      </c>
      <c r="E179" s="323">
        <f>12210/2</f>
        <v>6105</v>
      </c>
      <c r="F179" s="387">
        <v>7007</v>
      </c>
      <c r="G179" s="22">
        <v>0</v>
      </c>
      <c r="H179" s="22">
        <f>F179</f>
        <v>7007</v>
      </c>
      <c r="I179" s="22"/>
      <c r="J179" s="387"/>
      <c r="K179" s="22">
        <v>776</v>
      </c>
      <c r="L179" s="22">
        <f>J179+K179</f>
        <v>776</v>
      </c>
      <c r="M179" s="22">
        <f>H179-L179</f>
        <v>6231</v>
      </c>
      <c r="N179" s="36"/>
      <c r="P179" s="259"/>
    </row>
    <row r="180" spans="1:17" s="21" customFormat="1" ht="18.75" customHeight="1">
      <c r="B180" s="30"/>
      <c r="C180" s="15"/>
      <c r="D180" s="15"/>
      <c r="E180" s="322"/>
      <c r="F180" s="551">
        <f>F179</f>
        <v>7007</v>
      </c>
      <c r="G180" s="552">
        <f>SUM(G179)</f>
        <v>0</v>
      </c>
      <c r="H180" s="551">
        <f>SUM(H179)</f>
        <v>7007</v>
      </c>
      <c r="I180" s="551">
        <f t="shared" ref="I180:L180" si="38">SUM(I179)</f>
        <v>0</v>
      </c>
      <c r="J180" s="551">
        <f>SUM(J179)</f>
        <v>0</v>
      </c>
      <c r="K180" s="551">
        <f>SUM(K179)</f>
        <v>776</v>
      </c>
      <c r="L180" s="551">
        <f t="shared" si="38"/>
        <v>776</v>
      </c>
      <c r="M180" s="540">
        <f>M179</f>
        <v>6231</v>
      </c>
      <c r="N180" s="553"/>
      <c r="O180" s="259">
        <f>H180+I180-L180</f>
        <v>6231</v>
      </c>
      <c r="P180" s="259">
        <f>M180-O180</f>
        <v>0</v>
      </c>
      <c r="Q180" s="259"/>
    </row>
    <row r="181" spans="1:17" s="21" customFormat="1" ht="18.75" customHeight="1">
      <c r="B181" s="24"/>
      <c r="C181" s="25" t="s">
        <v>0</v>
      </c>
      <c r="D181" s="25"/>
      <c r="E181" s="315"/>
      <c r="F181" s="15"/>
      <c r="G181" s="15"/>
      <c r="H181" s="15"/>
      <c r="I181" s="15"/>
      <c r="J181" s="15"/>
      <c r="K181" s="15"/>
      <c r="L181" s="15"/>
      <c r="M181" s="15"/>
      <c r="N181" s="26"/>
      <c r="O181" s="259"/>
      <c r="P181" s="259"/>
      <c r="Q181" s="259"/>
    </row>
    <row r="182" spans="1:17" s="21" customFormat="1" ht="42.75" customHeight="1" thickBot="1">
      <c r="B182" s="512" t="s">
        <v>1</v>
      </c>
      <c r="C182" s="456" t="s">
        <v>2</v>
      </c>
      <c r="D182" s="456"/>
      <c r="E182" s="457"/>
      <c r="F182" s="456" t="s">
        <v>3</v>
      </c>
      <c r="G182" s="456" t="s">
        <v>4</v>
      </c>
      <c r="H182" s="456" t="s">
        <v>5</v>
      </c>
      <c r="I182" s="456" t="s">
        <v>44</v>
      </c>
      <c r="J182" s="456" t="s">
        <v>561</v>
      </c>
      <c r="K182" s="456" t="s">
        <v>43</v>
      </c>
      <c r="L182" s="456" t="s">
        <v>6</v>
      </c>
      <c r="M182" s="456" t="s">
        <v>7</v>
      </c>
      <c r="N182" s="458" t="s">
        <v>29</v>
      </c>
      <c r="O182" s="259"/>
      <c r="P182" s="259"/>
      <c r="Q182" s="259"/>
    </row>
    <row r="183" spans="1:17" s="21" customFormat="1" ht="18.75" customHeight="1" thickTop="1">
      <c r="B183" s="664" t="s">
        <v>765</v>
      </c>
      <c r="C183" s="665"/>
      <c r="D183" s="267"/>
      <c r="E183" s="324"/>
      <c r="F183" s="267"/>
      <c r="G183" s="268"/>
      <c r="H183" s="268"/>
      <c r="I183" s="267"/>
      <c r="J183" s="267"/>
      <c r="K183" s="267"/>
      <c r="L183" s="268"/>
      <c r="M183" s="269"/>
      <c r="N183" s="270"/>
      <c r="O183" s="259"/>
      <c r="P183" s="259"/>
      <c r="Q183" s="259"/>
    </row>
    <row r="184" spans="1:17" s="21" customFormat="1" ht="18.75" customHeight="1">
      <c r="B184" s="16" t="s">
        <v>801</v>
      </c>
      <c r="C184" s="249" t="s">
        <v>563</v>
      </c>
      <c r="D184" s="273" t="s">
        <v>193</v>
      </c>
      <c r="E184" s="325">
        <f>10384/2</f>
        <v>5192</v>
      </c>
      <c r="F184" s="271">
        <v>5400</v>
      </c>
      <c r="G184" s="3">
        <v>0</v>
      </c>
      <c r="H184" s="271">
        <f>F184</f>
        <v>5400</v>
      </c>
      <c r="I184" s="3"/>
      <c r="J184" s="3"/>
      <c r="K184" s="3">
        <v>481</v>
      </c>
      <c r="L184" s="3">
        <f>K184</f>
        <v>481</v>
      </c>
      <c r="M184" s="271">
        <f>F184-L184-J184</f>
        <v>4919</v>
      </c>
      <c r="N184" s="272"/>
    </row>
    <row r="185" spans="1:17" s="21" customFormat="1" ht="18.75" customHeight="1" thickBot="1">
      <c r="B185" s="535"/>
      <c r="C185" s="240"/>
      <c r="D185" s="240"/>
      <c r="E185" s="536"/>
      <c r="F185" s="548">
        <f>F184</f>
        <v>5400</v>
      </c>
      <c r="G185" s="544">
        <f>SUM(G184)</f>
        <v>0</v>
      </c>
      <c r="H185" s="548">
        <f>H184</f>
        <v>5400</v>
      </c>
      <c r="I185" s="544"/>
      <c r="J185" s="549">
        <f>SUM(J184)</f>
        <v>0</v>
      </c>
      <c r="K185" s="544">
        <f>K184</f>
        <v>481</v>
      </c>
      <c r="L185" s="544">
        <f>L184</f>
        <v>481</v>
      </c>
      <c r="M185" s="541">
        <f>M184</f>
        <v>4919</v>
      </c>
      <c r="N185" s="550"/>
      <c r="O185" s="259">
        <f>M185</f>
        <v>4919</v>
      </c>
    </row>
    <row r="186" spans="1:17" s="21" customFormat="1" ht="18.75" customHeight="1" thickTop="1">
      <c r="B186" s="30"/>
      <c r="C186"/>
      <c r="D186"/>
      <c r="E186" s="326"/>
      <c r="F186" s="254"/>
      <c r="G186" s="15"/>
      <c r="H186" s="254"/>
      <c r="I186" s="15"/>
      <c r="J186" s="407"/>
      <c r="K186" s="15"/>
      <c r="L186" s="15"/>
      <c r="M186" s="254"/>
      <c r="N186" s="36"/>
      <c r="O186" s="259"/>
    </row>
    <row r="187" spans="1:17" s="21" customFormat="1" ht="18.75" customHeight="1">
      <c r="B187" s="30"/>
      <c r="C187"/>
      <c r="D187"/>
      <c r="E187" s="326"/>
      <c r="F187" s="254"/>
      <c r="G187" s="15"/>
      <c r="H187" s="254"/>
      <c r="I187" s="15"/>
      <c r="J187" s="407"/>
      <c r="K187" s="15"/>
      <c r="L187" s="15"/>
      <c r="M187" s="254"/>
      <c r="N187" s="36"/>
      <c r="O187" s="259"/>
    </row>
    <row r="188" spans="1:17" ht="30" customHeight="1" thickBot="1">
      <c r="B188" s="667" t="s">
        <v>27</v>
      </c>
      <c r="C188" s="668"/>
      <c r="D188" s="544"/>
      <c r="E188" s="545"/>
      <c r="F188" s="546">
        <f>F9+F14+F18+F24+F34+F39+F48+F54+F64+F71+F76+F93+F98+F103+F116+F122+F140+F153+F158+F168+F174+F180+F185</f>
        <v>287041.2</v>
      </c>
      <c r="G188" s="546">
        <f>G9+G14+G18+G24+G34+G39+G48+G54+G64+G71+G76+G93+G98+G103+G116+G122+G140+G153+G158+G168+G174</f>
        <v>0</v>
      </c>
      <c r="H188" s="546">
        <f>H9+H14+H18+H24+H34+H39+H48+H54+H64+H71+H76+H93+H98+H103+H116+H122+H140+H153+H158+H168+H174+H180+H185</f>
        <v>287041.2</v>
      </c>
      <c r="I188" s="546">
        <f>I9+I14+I18+I24+I34+I39+I48+I54+I64+I71+I76+I93+I98+I103+I116+I122+I140+I153+I158+I168+I174+I180+I185</f>
        <v>24.04</v>
      </c>
      <c r="J188" s="546">
        <f>J185+J180+J174+J168+J158+J153+J140+J122+J116+J103+J98+J93+J76+J71+J64+J54+J48+J39+J34+J24+J18+J14+J9</f>
        <v>0</v>
      </c>
      <c r="K188" s="546">
        <f>K9+K14+K18+K24+K34+K39+K48+K54+K64+K71+K76+K93+K98+K103+K116+K122+K140+K153+K158+K168+K174+K180+K185</f>
        <v>29152.799999999999</v>
      </c>
      <c r="L188" s="546">
        <f>L9+L14+L18+L24+L34+L39+L48+L54+L64+L71+L76+L93+L98+L103+L116+L122+L140+L153+L158+L168+L174+L180+L185</f>
        <v>29152.799999999999</v>
      </c>
      <c r="M188" s="511">
        <f>M9+M14+M18+M24+M34+M39+M48+M54+M64+M71+M76+M93+M98+M103+M116+M122+M140+M153+M158+M168+M174+M180+M185</f>
        <v>257912.44</v>
      </c>
      <c r="N188" s="547"/>
    </row>
    <row r="189" spans="1:17" ht="12" thickTop="1">
      <c r="B189" s="24"/>
      <c r="E189" s="322"/>
      <c r="M189" s="214"/>
      <c r="N189" s="26"/>
    </row>
    <row r="190" spans="1:17">
      <c r="B190" s="24"/>
      <c r="E190" s="322"/>
      <c r="N190" s="26"/>
    </row>
    <row r="191" spans="1:17">
      <c r="A191" s="26"/>
      <c r="C191" s="38"/>
      <c r="E191" s="322"/>
      <c r="F191" s="38" t="s">
        <v>28</v>
      </c>
      <c r="G191" s="38" t="s">
        <v>28</v>
      </c>
      <c r="H191" s="38"/>
      <c r="K191" s="15" t="s">
        <v>28</v>
      </c>
      <c r="L191" s="38" t="s">
        <v>28</v>
      </c>
      <c r="M191" s="38" t="s">
        <v>28</v>
      </c>
      <c r="N191" s="26"/>
    </row>
    <row r="192" spans="1:17" ht="12.75">
      <c r="B192" s="654" t="s">
        <v>807</v>
      </c>
      <c r="C192" s="655"/>
      <c r="D192" s="43"/>
      <c r="E192" s="327"/>
      <c r="F192" s="669" t="s">
        <v>757</v>
      </c>
      <c r="G192" s="669"/>
      <c r="H192" s="669"/>
      <c r="I192" s="149"/>
      <c r="J192" s="149"/>
      <c r="K192" s="45"/>
      <c r="L192" s="666" t="s">
        <v>701</v>
      </c>
      <c r="M192" s="666"/>
      <c r="N192" s="26"/>
    </row>
    <row r="193" spans="2:15">
      <c r="B193" s="656" t="s">
        <v>420</v>
      </c>
      <c r="C193" s="657"/>
      <c r="D193" s="46"/>
      <c r="E193" s="328"/>
      <c r="F193" s="657" t="s">
        <v>420</v>
      </c>
      <c r="G193" s="657"/>
      <c r="H193" s="657"/>
      <c r="I193" s="38"/>
      <c r="J193" s="46"/>
      <c r="K193" s="38"/>
      <c r="L193" s="657" t="s">
        <v>419</v>
      </c>
      <c r="M193" s="657"/>
      <c r="N193" s="27"/>
    </row>
    <row r="197" spans="2:15">
      <c r="C197" s="304"/>
    </row>
    <row r="198" spans="2:15">
      <c r="F198" s="254">
        <f>SUM(F180+F174+F168+F158+F153+F140+F122+F103+F98+F116+F93+F76+F71+F64+F54+F48+F39+F34+F24+F18+F14+F9+F185)</f>
        <v>287041.2</v>
      </c>
      <c r="K198" s="255">
        <f>H188+I188-L188</f>
        <v>257912.44</v>
      </c>
      <c r="L198" s="255"/>
      <c r="M198" s="12">
        <f>F188+I188-L188</f>
        <v>257912.44</v>
      </c>
      <c r="O198" s="262">
        <f>SUM(O7:O193)</f>
        <v>257912.44</v>
      </c>
    </row>
    <row r="199" spans="2:15">
      <c r="F199" s="431">
        <f>F188-H188</f>
        <v>0</v>
      </c>
      <c r="K199" s="431">
        <f>M188-K198</f>
        <v>0</v>
      </c>
      <c r="M199" s="432">
        <f>M188-M198</f>
        <v>0</v>
      </c>
    </row>
    <row r="200" spans="2:15">
      <c r="H200" s="254"/>
      <c r="M200" s="277">
        <f>SUM(M198:M199)</f>
        <v>257912.44</v>
      </c>
    </row>
    <row r="201" spans="2:15">
      <c r="M201" s="255"/>
    </row>
    <row r="202" spans="2:15">
      <c r="M202" s="255"/>
    </row>
  </sheetData>
  <mergeCells count="26">
    <mergeCell ref="B129:N129"/>
    <mergeCell ref="B146:N146"/>
    <mergeCell ref="L193:M193"/>
    <mergeCell ref="B183:C183"/>
    <mergeCell ref="L192:M192"/>
    <mergeCell ref="B161:N161"/>
    <mergeCell ref="B162:N162"/>
    <mergeCell ref="B188:C188"/>
    <mergeCell ref="F193:H193"/>
    <mergeCell ref="F192:H192"/>
    <mergeCell ref="C1:I1"/>
    <mergeCell ref="B192:C192"/>
    <mergeCell ref="B193:C193"/>
    <mergeCell ref="B2:N2"/>
    <mergeCell ref="B3:N3"/>
    <mergeCell ref="C26:I26"/>
    <mergeCell ref="B27:N27"/>
    <mergeCell ref="B28:N28"/>
    <mergeCell ref="B57:N57"/>
    <mergeCell ref="B58:N58"/>
    <mergeCell ref="B81:N81"/>
    <mergeCell ref="B82:N82"/>
    <mergeCell ref="B147:N147"/>
    <mergeCell ref="B106:N106"/>
    <mergeCell ref="B107:N107"/>
    <mergeCell ref="B128:N128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zoomScale="98" zoomScaleNormal="98" workbookViewId="0">
      <selection activeCell="K13" sqref="K13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76" t="s">
        <v>206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8"/>
    </row>
    <row r="4" spans="2:22" ht="17.25">
      <c r="B4" s="679" t="s">
        <v>802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1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59" t="s">
        <v>151</v>
      </c>
      <c r="C8" s="460">
        <v>0</v>
      </c>
      <c r="D8" s="460"/>
      <c r="E8" s="460"/>
      <c r="F8" s="460"/>
      <c r="G8" s="461" t="s">
        <v>28</v>
      </c>
      <c r="H8" s="460"/>
      <c r="I8" s="671" t="s">
        <v>55</v>
      </c>
      <c r="J8" s="672"/>
      <c r="K8" s="673"/>
      <c r="L8" s="462"/>
      <c r="M8" s="462"/>
      <c r="N8" s="671" t="s">
        <v>56</v>
      </c>
      <c r="O8" s="674"/>
      <c r="P8" s="462"/>
      <c r="Q8" s="682" t="s">
        <v>205</v>
      </c>
    </row>
    <row r="9" spans="2:22" s="108" customFormat="1" ht="12.75" customHeight="1">
      <c r="B9" s="463" t="s">
        <v>152</v>
      </c>
      <c r="C9" s="675" t="s">
        <v>47</v>
      </c>
      <c r="D9" s="675"/>
      <c r="E9" s="675"/>
      <c r="F9" s="464"/>
      <c r="G9" s="465"/>
      <c r="H9" s="466" t="s">
        <v>58</v>
      </c>
      <c r="I9" s="467" t="s">
        <v>3</v>
      </c>
      <c r="J9" s="468" t="s">
        <v>60</v>
      </c>
      <c r="K9" s="469" t="s">
        <v>153</v>
      </c>
      <c r="L9" s="468" t="s">
        <v>62</v>
      </c>
      <c r="M9" s="470" t="s">
        <v>561</v>
      </c>
      <c r="N9" s="471"/>
      <c r="O9" s="472" t="s">
        <v>153</v>
      </c>
      <c r="P9" s="473" t="s">
        <v>154</v>
      </c>
      <c r="Q9" s="683"/>
      <c r="R9" s="284" t="s">
        <v>573</v>
      </c>
      <c r="S9" s="284" t="s">
        <v>574</v>
      </c>
    </row>
    <row r="10" spans="2:22" s="108" customFormat="1" ht="14.25">
      <c r="B10" s="474" t="s">
        <v>155</v>
      </c>
      <c r="C10" s="475" t="s">
        <v>48</v>
      </c>
      <c r="D10" s="476" t="s">
        <v>49</v>
      </c>
      <c r="E10" s="476" t="s">
        <v>50</v>
      </c>
      <c r="F10" s="476" t="s">
        <v>51</v>
      </c>
      <c r="G10" s="477"/>
      <c r="H10" s="476" t="s">
        <v>156</v>
      </c>
      <c r="I10" s="478" t="s">
        <v>157</v>
      </c>
      <c r="J10" s="479" t="s">
        <v>191</v>
      </c>
      <c r="K10" s="480" t="s">
        <v>159</v>
      </c>
      <c r="L10" s="479" t="s">
        <v>160</v>
      </c>
      <c r="M10" s="479"/>
      <c r="N10" s="476" t="s">
        <v>70</v>
      </c>
      <c r="O10" s="476" t="s">
        <v>161</v>
      </c>
      <c r="P10" s="481" t="s">
        <v>162</v>
      </c>
      <c r="Q10" s="684"/>
    </row>
    <row r="11" spans="2:22">
      <c r="B11" s="109" t="s">
        <v>192</v>
      </c>
      <c r="Q11" s="110"/>
    </row>
    <row r="12" spans="2:22" s="115" customFormat="1" ht="30" customHeight="1">
      <c r="B12" s="75">
        <v>1</v>
      </c>
      <c r="C12" s="75"/>
      <c r="D12" s="75"/>
      <c r="E12" s="75" t="s">
        <v>744</v>
      </c>
      <c r="F12" s="3" t="s">
        <v>745</v>
      </c>
      <c r="G12" s="329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11">
        <f>K12-O12</f>
        <v>9115</v>
      </c>
      <c r="Q12" s="112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194</v>
      </c>
      <c r="F13" s="3" t="s">
        <v>195</v>
      </c>
      <c r="G13" s="329">
        <f>12736/2</f>
        <v>6368</v>
      </c>
      <c r="H13" s="79">
        <v>15</v>
      </c>
      <c r="I13" s="77">
        <v>6623</v>
      </c>
      <c r="J13" s="77"/>
      <c r="K13" s="77">
        <f t="shared" ref="K13:K38" si="0">(I13+J13)</f>
        <v>6623</v>
      </c>
      <c r="L13" s="77">
        <v>0</v>
      </c>
      <c r="M13" s="77"/>
      <c r="N13" s="77">
        <v>696</v>
      </c>
      <c r="O13" s="77">
        <f t="shared" ref="O13:O38" si="1">N13+M13</f>
        <v>696</v>
      </c>
      <c r="P13" s="111">
        <f t="shared" ref="P13:P37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7" si="3">B13+1</f>
        <v>3</v>
      </c>
      <c r="C14" s="75"/>
      <c r="D14" s="75"/>
      <c r="E14" s="66" t="s">
        <v>196</v>
      </c>
      <c r="F14" s="3" t="s">
        <v>195</v>
      </c>
      <c r="G14" s="329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75">
        <v>4</v>
      </c>
      <c r="C15" s="75"/>
      <c r="D15" s="75"/>
      <c r="E15" s="75" t="s">
        <v>761</v>
      </c>
      <c r="F15" s="3" t="s">
        <v>195</v>
      </c>
      <c r="G15" s="329"/>
      <c r="H15" s="79">
        <v>15</v>
      </c>
      <c r="I15" s="77">
        <v>6623</v>
      </c>
      <c r="J15" s="77"/>
      <c r="K15" s="77">
        <v>6623</v>
      </c>
      <c r="L15" s="77"/>
      <c r="M15" s="77"/>
      <c r="N15" s="77">
        <v>696</v>
      </c>
      <c r="O15" s="77">
        <f t="shared" si="1"/>
        <v>696</v>
      </c>
      <c r="P15" s="111">
        <f t="shared" si="2"/>
        <v>5927</v>
      </c>
      <c r="Q15" s="112"/>
      <c r="R15" s="113" t="s">
        <v>766</v>
      </c>
      <c r="S15" s="113"/>
      <c r="T15" s="113"/>
      <c r="U15" s="113"/>
      <c r="V15" s="114"/>
    </row>
    <row r="16" spans="2:22" s="115" customFormat="1" ht="30" customHeight="1">
      <c r="B16" s="75">
        <v>5</v>
      </c>
      <c r="C16" s="75"/>
      <c r="D16" s="75"/>
      <c r="E16" s="66" t="s">
        <v>197</v>
      </c>
      <c r="F16" s="3" t="s">
        <v>198</v>
      </c>
      <c r="G16" s="329">
        <f t="shared" ref="G16:G23" si="4">9242/2</f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v>6</v>
      </c>
      <c r="C17" s="75"/>
      <c r="D17" s="75"/>
      <c r="E17" s="66" t="s">
        <v>200</v>
      </c>
      <c r="F17" s="3" t="s">
        <v>198</v>
      </c>
      <c r="G17" s="329">
        <f t="shared" si="4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2"/>
      <c r="R17" s="113"/>
      <c r="S17" s="113"/>
      <c r="T17" s="113"/>
      <c r="U17" s="113"/>
      <c r="V17" s="114"/>
    </row>
    <row r="18" spans="1:22" s="115" customFormat="1" ht="30" customHeight="1">
      <c r="B18" s="75">
        <f t="shared" si="3"/>
        <v>7</v>
      </c>
      <c r="C18" s="66"/>
      <c r="D18" s="66"/>
      <c r="E18" s="127" t="s">
        <v>201</v>
      </c>
      <c r="F18" s="116" t="s">
        <v>198</v>
      </c>
      <c r="G18" s="330">
        <f t="shared" si="4"/>
        <v>4621</v>
      </c>
      <c r="H18" s="117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11">
        <f t="shared" si="2"/>
        <v>4420</v>
      </c>
      <c r="Q18" s="118"/>
      <c r="R18" s="113"/>
      <c r="S18" s="113"/>
      <c r="T18" s="242">
        <v>10</v>
      </c>
      <c r="U18" s="242">
        <f>I18/15*T18</f>
        <v>3204</v>
      </c>
      <c r="V18" s="114">
        <f>U18</f>
        <v>3204</v>
      </c>
    </row>
    <row r="19" spans="1:22" s="115" customFormat="1" ht="30" customHeight="1">
      <c r="B19" s="75">
        <f t="shared" si="3"/>
        <v>8</v>
      </c>
      <c r="C19" s="75"/>
      <c r="D19" s="75"/>
      <c r="E19" s="66" t="s">
        <v>83</v>
      </c>
      <c r="F19" s="3" t="s">
        <v>198</v>
      </c>
      <c r="G19" s="329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77"/>
      <c r="N19" s="77">
        <v>386</v>
      </c>
      <c r="O19" s="77">
        <f t="shared" si="1"/>
        <v>386</v>
      </c>
      <c r="P19" s="111">
        <f t="shared" si="2"/>
        <v>4420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543</v>
      </c>
      <c r="F20" s="3" t="s">
        <v>198</v>
      </c>
      <c r="G20" s="329">
        <f t="shared" si="4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113"/>
      <c r="U20" s="113"/>
      <c r="V20" s="114"/>
    </row>
    <row r="21" spans="1:22" s="115" customFormat="1" ht="30" customHeight="1">
      <c r="B21" s="75">
        <f t="shared" si="3"/>
        <v>10</v>
      </c>
      <c r="C21" s="75"/>
      <c r="D21" s="75"/>
      <c r="E21" s="66" t="s">
        <v>202</v>
      </c>
      <c r="F21" s="3" t="s">
        <v>198</v>
      </c>
      <c r="G21" s="329">
        <f t="shared" si="4"/>
        <v>4621</v>
      </c>
      <c r="H21" s="79">
        <v>15</v>
      </c>
      <c r="I21" s="77">
        <v>4806</v>
      </c>
      <c r="J21" s="119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R21" s="113"/>
      <c r="S21" s="113"/>
      <c r="T21" s="242">
        <v>10</v>
      </c>
      <c r="U21" s="243">
        <f>I21/15*T21</f>
        <v>3204</v>
      </c>
      <c r="V21" s="114">
        <f>U21</f>
        <v>3204</v>
      </c>
    </row>
    <row r="22" spans="1:22" s="115" customFormat="1" ht="30" customHeight="1">
      <c r="B22" s="75">
        <f t="shared" si="3"/>
        <v>11</v>
      </c>
      <c r="C22" s="75"/>
      <c r="D22" s="75"/>
      <c r="E22" s="66" t="s">
        <v>203</v>
      </c>
      <c r="F22" s="3" t="s">
        <v>198</v>
      </c>
      <c r="G22" s="329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/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127" t="s">
        <v>270</v>
      </c>
      <c r="F23" s="3" t="s">
        <v>198</v>
      </c>
      <c r="G23" s="329">
        <f t="shared" si="4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 t="s">
        <v>271</v>
      </c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4" t="s">
        <v>624</v>
      </c>
      <c r="F24" s="3" t="s">
        <v>198</v>
      </c>
      <c r="G24" s="329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404" t="s">
        <v>618</v>
      </c>
      <c r="F25" s="3" t="s">
        <v>198</v>
      </c>
      <c r="G25" s="329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R25" s="115" t="s">
        <v>619</v>
      </c>
      <c r="S25" s="115" t="s">
        <v>647</v>
      </c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275</v>
      </c>
      <c r="F26" s="3" t="s">
        <v>198</v>
      </c>
      <c r="G26" s="329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11">
        <f t="shared" si="2"/>
        <v>4420</v>
      </c>
      <c r="Q26" s="112"/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599</v>
      </c>
      <c r="F27" s="3" t="s">
        <v>198</v>
      </c>
      <c r="G27" s="329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77"/>
      <c r="N27" s="77">
        <v>386</v>
      </c>
      <c r="O27" s="77">
        <f t="shared" si="1"/>
        <v>386</v>
      </c>
      <c r="P27" s="111">
        <f t="shared" si="2"/>
        <v>4420</v>
      </c>
      <c r="Q27" s="112"/>
      <c r="S27" s="412" t="s">
        <v>648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636</v>
      </c>
      <c r="F28" s="3" t="s">
        <v>198</v>
      </c>
      <c r="G28" s="329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637</v>
      </c>
      <c r="S28" s="115" t="s">
        <v>649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657</v>
      </c>
      <c r="F29" s="3" t="s">
        <v>198</v>
      </c>
      <c r="G29" s="329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658</v>
      </c>
      <c r="T29" s="113"/>
      <c r="U29" s="113"/>
      <c r="V29" s="114"/>
    </row>
    <row r="30" spans="1:22" s="115" customFormat="1" ht="30" customHeight="1">
      <c r="B30" s="75">
        <f t="shared" si="3"/>
        <v>19</v>
      </c>
      <c r="C30" s="75"/>
      <c r="D30" s="75"/>
      <c r="E30" s="75" t="s">
        <v>682</v>
      </c>
      <c r="F30" s="3" t="s">
        <v>198</v>
      </c>
      <c r="G30" s="329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702</v>
      </c>
      <c r="T30" s="113"/>
      <c r="U30" s="113"/>
      <c r="V30" s="114"/>
    </row>
    <row r="31" spans="1:22" s="115" customFormat="1" ht="30" customHeight="1">
      <c r="A31" s="419" t="s">
        <v>700</v>
      </c>
      <c r="B31" s="75">
        <f t="shared" si="3"/>
        <v>20</v>
      </c>
      <c r="C31" s="75"/>
      <c r="D31" s="75"/>
      <c r="E31" s="75" t="s">
        <v>716</v>
      </c>
      <c r="F31" s="3" t="s">
        <v>198</v>
      </c>
      <c r="G31" s="329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693</v>
      </c>
      <c r="T31" s="113"/>
      <c r="U31" s="113"/>
      <c r="V31" s="114"/>
    </row>
    <row r="32" spans="1:22" s="115" customFormat="1" ht="30" customHeight="1">
      <c r="A32" s="419" t="s">
        <v>700</v>
      </c>
      <c r="B32" s="75">
        <f t="shared" si="3"/>
        <v>21</v>
      </c>
      <c r="C32" s="216"/>
      <c r="D32" s="216"/>
      <c r="E32" s="216" t="s">
        <v>696</v>
      </c>
      <c r="F32" s="120" t="s">
        <v>198</v>
      </c>
      <c r="G32" s="331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697</v>
      </c>
      <c r="T32" s="113"/>
      <c r="U32" s="113"/>
      <c r="V32" s="114"/>
    </row>
    <row r="33" spans="1:22" s="115" customFormat="1" ht="30" customHeight="1">
      <c r="A33" s="419" t="s">
        <v>700</v>
      </c>
      <c r="B33" s="75">
        <f t="shared" si="3"/>
        <v>22</v>
      </c>
      <c r="C33" s="216"/>
      <c r="D33" s="216"/>
      <c r="E33" s="216" t="s">
        <v>698</v>
      </c>
      <c r="F33" s="120" t="s">
        <v>198</v>
      </c>
      <c r="G33" s="331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697</v>
      </c>
      <c r="T33" s="113"/>
      <c r="U33" s="113"/>
      <c r="V33" s="114"/>
    </row>
    <row r="34" spans="1:22" s="115" customFormat="1" ht="30" customHeight="1">
      <c r="A34" s="419" t="s">
        <v>700</v>
      </c>
      <c r="B34" s="75">
        <f t="shared" si="3"/>
        <v>23</v>
      </c>
      <c r="C34" s="216"/>
      <c r="D34" s="216"/>
      <c r="E34" s="216" t="s">
        <v>699</v>
      </c>
      <c r="F34" s="120" t="s">
        <v>198</v>
      </c>
      <c r="G34" s="331"/>
      <c r="H34" s="121">
        <v>15</v>
      </c>
      <c r="I34" s="119">
        <v>4806</v>
      </c>
      <c r="J34" s="119"/>
      <c r="K34" s="77">
        <f t="shared" si="0"/>
        <v>4806</v>
      </c>
      <c r="L34" s="77">
        <v>0</v>
      </c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697</v>
      </c>
      <c r="T34" s="113"/>
      <c r="U34" s="113"/>
      <c r="V34" s="114"/>
    </row>
    <row r="35" spans="1:22" s="115" customFormat="1" ht="30" customHeight="1">
      <c r="A35" s="573"/>
      <c r="B35" s="75">
        <f t="shared" si="3"/>
        <v>24</v>
      </c>
      <c r="C35" s="216"/>
      <c r="D35" s="216"/>
      <c r="E35" s="216" t="s">
        <v>728</v>
      </c>
      <c r="F35" s="120" t="s">
        <v>198</v>
      </c>
      <c r="G35" s="331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729</v>
      </c>
      <c r="T35" s="113"/>
      <c r="U35" s="113"/>
      <c r="V35" s="114"/>
    </row>
    <row r="36" spans="1:22" s="115" customFormat="1" ht="30" customHeight="1">
      <c r="A36" s="573"/>
      <c r="B36" s="75">
        <f t="shared" si="3"/>
        <v>25</v>
      </c>
      <c r="C36" s="216"/>
      <c r="D36" s="216"/>
      <c r="E36" s="216" t="s">
        <v>730</v>
      </c>
      <c r="F36" s="120" t="s">
        <v>198</v>
      </c>
      <c r="G36" s="331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731</v>
      </c>
      <c r="T36" s="113"/>
      <c r="U36" s="113"/>
      <c r="V36" s="114"/>
    </row>
    <row r="37" spans="1:22" s="115" customFormat="1" ht="30" customHeight="1">
      <c r="A37" s="573"/>
      <c r="B37" s="75">
        <f t="shared" si="3"/>
        <v>26</v>
      </c>
      <c r="C37" s="216"/>
      <c r="D37" s="216"/>
      <c r="E37" s="216" t="s">
        <v>733</v>
      </c>
      <c r="F37" s="120" t="s">
        <v>198</v>
      </c>
      <c r="G37" s="331"/>
      <c r="H37" s="121">
        <v>15</v>
      </c>
      <c r="I37" s="119">
        <v>4806</v>
      </c>
      <c r="J37" s="119"/>
      <c r="K37" s="77">
        <f t="shared" si="0"/>
        <v>4806</v>
      </c>
      <c r="L37" s="77"/>
      <c r="M37" s="77"/>
      <c r="N37" s="77">
        <v>386</v>
      </c>
      <c r="O37" s="77">
        <f t="shared" si="1"/>
        <v>386</v>
      </c>
      <c r="P37" s="111">
        <f t="shared" si="2"/>
        <v>4420</v>
      </c>
      <c r="Q37" s="112"/>
      <c r="R37" s="115" t="s">
        <v>734</v>
      </c>
      <c r="T37" s="113"/>
      <c r="U37" s="113"/>
      <c r="V37" s="114"/>
    </row>
    <row r="38" spans="1:22" s="115" customFormat="1" ht="30" customHeight="1">
      <c r="B38" s="75">
        <f>B37+1</f>
        <v>27</v>
      </c>
      <c r="C38" s="75"/>
      <c r="D38" s="75"/>
      <c r="E38" s="75" t="s">
        <v>213</v>
      </c>
      <c r="F38" s="3" t="s">
        <v>214</v>
      </c>
      <c r="G38" s="332">
        <f>4592/2</f>
        <v>2296</v>
      </c>
      <c r="H38" s="79">
        <v>15</v>
      </c>
      <c r="I38" s="77">
        <v>2388</v>
      </c>
      <c r="J38" s="77"/>
      <c r="K38" s="77">
        <f t="shared" si="0"/>
        <v>2388</v>
      </c>
      <c r="L38" s="77">
        <v>24.04</v>
      </c>
      <c r="M38" s="77"/>
      <c r="N38" s="77"/>
      <c r="O38" s="77">
        <f t="shared" si="1"/>
        <v>0</v>
      </c>
      <c r="P38" s="111">
        <f t="shared" ref="P38" si="5">K38+L38-O38</f>
        <v>2412.04</v>
      </c>
      <c r="Q38" s="308"/>
      <c r="T38" s="113"/>
      <c r="U38" s="113"/>
      <c r="V38" s="114"/>
    </row>
    <row r="39" spans="1:22" s="115" customFormat="1" ht="30" customHeight="1" thickBot="1">
      <c r="B39" s="15"/>
      <c r="C39" s="562" t="s">
        <v>45</v>
      </c>
      <c r="D39" s="562"/>
      <c r="E39" s="562"/>
      <c r="F39" s="562"/>
      <c r="G39" s="562"/>
      <c r="H39" s="562"/>
      <c r="I39" s="563">
        <f t="shared" ref="I39:P39" si="6">SUM(I12:I38)</f>
        <v>138664</v>
      </c>
      <c r="J39" s="563">
        <f t="shared" si="6"/>
        <v>0</v>
      </c>
      <c r="K39" s="563">
        <f t="shared" si="6"/>
        <v>138664</v>
      </c>
      <c r="L39" s="563">
        <f t="shared" si="6"/>
        <v>24.04</v>
      </c>
      <c r="M39" s="563">
        <f t="shared" si="6"/>
        <v>0</v>
      </c>
      <c r="N39" s="563">
        <f t="shared" si="6"/>
        <v>12140</v>
      </c>
      <c r="O39" s="563">
        <f t="shared" si="6"/>
        <v>12140</v>
      </c>
      <c r="P39" s="514">
        <f t="shared" si="6"/>
        <v>126548.04</v>
      </c>
      <c r="R39" s="114"/>
      <c r="S39" s="114"/>
    </row>
    <row r="40" spans="1:22" ht="12" thickTop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1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2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5"/>
      <c r="S43" s="115"/>
      <c r="T43" s="115"/>
      <c r="U43" s="115"/>
      <c r="V43" s="115"/>
    </row>
    <row r="44" spans="1:22">
      <c r="B44" s="122"/>
      <c r="C44" s="122"/>
      <c r="D44" s="122"/>
      <c r="E44" s="122"/>
      <c r="F44" s="122"/>
      <c r="G44" s="122" t="s">
        <v>28</v>
      </c>
      <c r="H44" s="122"/>
      <c r="I44" s="122"/>
      <c r="J44" s="122"/>
      <c r="K44" s="122"/>
      <c r="L44" s="122"/>
      <c r="M44" s="122"/>
      <c r="N44" s="124"/>
      <c r="O44" s="122"/>
      <c r="P44" s="125"/>
    </row>
    <row r="45" spans="1:22">
      <c r="G45" s="55"/>
      <c r="H45" s="55"/>
      <c r="I45" s="55"/>
      <c r="J45" s="55"/>
      <c r="K45" s="55"/>
      <c r="L45" s="55"/>
      <c r="M45" s="55"/>
    </row>
    <row r="46" spans="1:22" ht="13.5" customHeight="1">
      <c r="B46" s="649" t="s">
        <v>807</v>
      </c>
      <c r="C46" s="649"/>
      <c r="D46" s="649"/>
      <c r="E46" s="649"/>
      <c r="F46" s="6"/>
      <c r="G46" s="651" t="s">
        <v>757</v>
      </c>
      <c r="H46" s="651"/>
      <c r="I46" s="651"/>
      <c r="J46" s="651"/>
      <c r="K46" s="651"/>
      <c r="L46" s="651"/>
      <c r="M46" s="651"/>
      <c r="N46" s="6"/>
      <c r="O46" s="670" t="s">
        <v>701</v>
      </c>
      <c r="P46" s="670"/>
      <c r="Q46" s="670"/>
    </row>
    <row r="47" spans="1:22" ht="12.75">
      <c r="B47" s="650" t="s">
        <v>145</v>
      </c>
      <c r="C47" s="650"/>
      <c r="D47" s="650"/>
      <c r="E47" s="650"/>
      <c r="F47" s="6"/>
      <c r="G47" s="6"/>
      <c r="H47" s="650" t="s">
        <v>758</v>
      </c>
      <c r="I47" s="650"/>
      <c r="J47" s="650"/>
      <c r="K47" s="650"/>
      <c r="L47" s="650"/>
      <c r="M47" s="650"/>
      <c r="N47" s="6"/>
      <c r="O47" s="650" t="s">
        <v>30</v>
      </c>
      <c r="P47" s="650"/>
      <c r="Q47" s="650"/>
    </row>
    <row r="48" spans="1:22">
      <c r="K48" s="126"/>
    </row>
    <row r="49" spans="16:16">
      <c r="P49" s="126"/>
    </row>
    <row r="50" spans="16:16">
      <c r="P50" s="126"/>
    </row>
    <row r="51" spans="16:16">
      <c r="P51" s="182"/>
    </row>
    <row r="55" spans="16:16">
      <c r="P55" s="260">
        <f>K39+L39-O39</f>
        <v>126548.04000000001</v>
      </c>
    </row>
    <row r="56" spans="16:16">
      <c r="P56" s="260">
        <f>P39-P55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6:E46"/>
    <mergeCell ref="O46:Q46"/>
    <mergeCell ref="B47:E47"/>
    <mergeCell ref="O47:Q47"/>
    <mergeCell ref="G46:M46"/>
    <mergeCell ref="H47:M47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8" workbookViewId="0">
      <selection activeCell="O32" sqref="O32:Q32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37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88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52"/>
    </row>
    <row r="3" spans="2:17" s="47" customFormat="1" ht="19.5">
      <c r="B3" s="676" t="s">
        <v>206</v>
      </c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8"/>
    </row>
    <row r="4" spans="2:17" s="47" customFormat="1" ht="17.25">
      <c r="B4" s="696" t="s">
        <v>803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1"/>
    </row>
    <row r="5" spans="2:17" s="47" customFormat="1" ht="12.75">
      <c r="B5" s="104"/>
      <c r="C5" s="103"/>
      <c r="D5" s="103"/>
      <c r="E5" s="103"/>
      <c r="F5" s="103"/>
      <c r="G5" s="103"/>
      <c r="H5" s="333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4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149</v>
      </c>
      <c r="C7" s="128"/>
      <c r="D7" s="129"/>
      <c r="E7" s="129" t="s">
        <v>150</v>
      </c>
      <c r="F7" s="130"/>
      <c r="G7" s="130"/>
      <c r="H7" s="335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151</v>
      </c>
      <c r="C8" s="132"/>
      <c r="D8" s="132"/>
      <c r="E8" s="132"/>
      <c r="F8" s="132"/>
      <c r="G8" s="133" t="s">
        <v>28</v>
      </c>
      <c r="H8" s="336"/>
      <c r="I8" s="132"/>
      <c r="J8" s="690" t="s">
        <v>55</v>
      </c>
      <c r="K8" s="691"/>
      <c r="L8" s="692"/>
      <c r="M8" s="134"/>
      <c r="N8" s="690" t="s">
        <v>56</v>
      </c>
      <c r="O8" s="693"/>
      <c r="P8" s="134"/>
      <c r="Q8" s="135"/>
    </row>
    <row r="9" spans="2:17" ht="18" customHeight="1">
      <c r="B9" s="463" t="s">
        <v>152</v>
      </c>
      <c r="C9" s="675" t="s">
        <v>47</v>
      </c>
      <c r="D9" s="675"/>
      <c r="E9" s="675"/>
      <c r="F9" s="464"/>
      <c r="G9" s="465"/>
      <c r="H9" s="482"/>
      <c r="I9" s="466" t="s">
        <v>58</v>
      </c>
      <c r="J9" s="467" t="s">
        <v>3</v>
      </c>
      <c r="K9" s="468" t="s">
        <v>60</v>
      </c>
      <c r="L9" s="469" t="s">
        <v>153</v>
      </c>
      <c r="M9" s="468"/>
      <c r="N9" s="699" t="s">
        <v>566</v>
      </c>
      <c r="O9" s="700"/>
      <c r="P9" s="473" t="s">
        <v>154</v>
      </c>
      <c r="Q9" s="697" t="s">
        <v>29</v>
      </c>
    </row>
    <row r="10" spans="2:17" ht="18" customHeight="1">
      <c r="B10" s="474" t="s">
        <v>155</v>
      </c>
      <c r="C10" s="475" t="s">
        <v>48</v>
      </c>
      <c r="D10" s="476" t="s">
        <v>49</v>
      </c>
      <c r="E10" s="476" t="s">
        <v>50</v>
      </c>
      <c r="F10" s="476" t="s">
        <v>51</v>
      </c>
      <c r="G10" s="477" t="s">
        <v>52</v>
      </c>
      <c r="H10" s="483"/>
      <c r="I10" s="476" t="s">
        <v>156</v>
      </c>
      <c r="J10" s="478" t="s">
        <v>157</v>
      </c>
      <c r="K10" s="479" t="s">
        <v>158</v>
      </c>
      <c r="L10" s="480" t="s">
        <v>159</v>
      </c>
      <c r="M10" s="479" t="s">
        <v>561</v>
      </c>
      <c r="N10" s="476" t="s">
        <v>70</v>
      </c>
      <c r="O10" s="476" t="s">
        <v>161</v>
      </c>
      <c r="P10" s="481" t="s">
        <v>162</v>
      </c>
      <c r="Q10" s="698"/>
    </row>
    <row r="11" spans="2:17" ht="18" customHeight="1">
      <c r="B11" s="136" t="s">
        <v>163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164</v>
      </c>
      <c r="D12" s="3" t="s">
        <v>108</v>
      </c>
      <c r="E12" s="116" t="s">
        <v>165</v>
      </c>
      <c r="F12" s="3" t="s">
        <v>549</v>
      </c>
      <c r="G12" s="3" t="s">
        <v>167</v>
      </c>
      <c r="H12" s="338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420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168</v>
      </c>
      <c r="E13" s="116" t="s">
        <v>169</v>
      </c>
      <c r="F13" s="3" t="s">
        <v>166</v>
      </c>
      <c r="G13" s="3" t="s">
        <v>170</v>
      </c>
      <c r="H13" s="338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420">
        <v>0</v>
      </c>
      <c r="N13" s="77">
        <v>386</v>
      </c>
      <c r="O13" s="68">
        <f t="shared" ref="O13:O27" si="1">N13+M13</f>
        <v>386</v>
      </c>
      <c r="P13" s="141">
        <f t="shared" ref="P13:P27" si="2">L13-O13</f>
        <v>4420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172</v>
      </c>
      <c r="E14" s="116" t="s">
        <v>173</v>
      </c>
      <c r="F14" s="3" t="s">
        <v>166</v>
      </c>
      <c r="G14" s="120" t="s">
        <v>174</v>
      </c>
      <c r="H14" s="338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420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171</v>
      </c>
      <c r="D15" s="3" t="s">
        <v>175</v>
      </c>
      <c r="E15" s="116" t="s">
        <v>176</v>
      </c>
      <c r="F15" s="3" t="s">
        <v>166</v>
      </c>
      <c r="G15" s="3" t="s">
        <v>177</v>
      </c>
      <c r="H15" s="338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0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178</v>
      </c>
      <c r="D16" s="3" t="s">
        <v>179</v>
      </c>
      <c r="E16" s="116" t="s">
        <v>180</v>
      </c>
      <c r="F16" s="3" t="s">
        <v>166</v>
      </c>
      <c r="G16" s="3" t="s">
        <v>181</v>
      </c>
      <c r="H16" s="338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0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182</v>
      </c>
      <c r="F17" s="3" t="s">
        <v>166</v>
      </c>
      <c r="G17" s="3" t="s">
        <v>183</v>
      </c>
      <c r="H17" s="338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0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184</v>
      </c>
      <c r="D18" s="3" t="s">
        <v>185</v>
      </c>
      <c r="E18" s="116" t="s">
        <v>186</v>
      </c>
      <c r="F18" s="3" t="s">
        <v>166</v>
      </c>
      <c r="G18" s="3" t="s">
        <v>187</v>
      </c>
      <c r="H18" s="338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0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188</v>
      </c>
      <c r="F19" s="3" t="s">
        <v>166</v>
      </c>
      <c r="G19" s="3"/>
      <c r="H19" s="338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0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189</v>
      </c>
      <c r="E20" s="116" t="s">
        <v>190</v>
      </c>
      <c r="F20" s="116" t="s">
        <v>166</v>
      </c>
      <c r="G20" s="116"/>
      <c r="H20" s="338">
        <f t="shared" si="4"/>
        <v>4621</v>
      </c>
      <c r="I20" s="116">
        <v>15</v>
      </c>
      <c r="J20" s="77">
        <v>4806</v>
      </c>
      <c r="K20" s="285"/>
      <c r="L20" s="68">
        <f t="shared" si="0"/>
        <v>4806</v>
      </c>
      <c r="M20" s="420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168</v>
      </c>
      <c r="D21" s="120" t="s">
        <v>211</v>
      </c>
      <c r="E21" s="251" t="s">
        <v>212</v>
      </c>
      <c r="F21" s="120" t="s">
        <v>166</v>
      </c>
      <c r="G21" s="120"/>
      <c r="H21" s="339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196</v>
      </c>
      <c r="F22" s="144" t="s">
        <v>166</v>
      </c>
      <c r="G22" s="144"/>
      <c r="H22" s="340">
        <f>9242/2</f>
        <v>4621</v>
      </c>
      <c r="I22" s="144">
        <v>15</v>
      </c>
      <c r="J22" s="77">
        <v>4806</v>
      </c>
      <c r="K22" s="253"/>
      <c r="L22" s="68">
        <f t="shared" si="0"/>
        <v>4806</v>
      </c>
      <c r="M22" s="253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685</v>
      </c>
    </row>
    <row r="23" spans="2:18" ht="24.75" customHeight="1">
      <c r="B23" s="3">
        <v>12</v>
      </c>
      <c r="C23" s="144" t="s">
        <v>632</v>
      </c>
      <c r="D23" s="144" t="s">
        <v>108</v>
      </c>
      <c r="E23" s="144" t="s">
        <v>633</v>
      </c>
      <c r="F23" s="144" t="s">
        <v>166</v>
      </c>
      <c r="G23" s="144"/>
      <c r="H23" s="340"/>
      <c r="I23" s="144">
        <v>15</v>
      </c>
      <c r="J23" s="77">
        <v>4806</v>
      </c>
      <c r="K23" s="253"/>
      <c r="L23" s="68">
        <f t="shared" si="0"/>
        <v>4806</v>
      </c>
      <c r="M23" s="253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684</v>
      </c>
    </row>
    <row r="24" spans="2:18" ht="24.75" customHeight="1">
      <c r="B24" s="3">
        <v>13</v>
      </c>
      <c r="C24" s="144" t="s">
        <v>276</v>
      </c>
      <c r="D24" s="144" t="s">
        <v>717</v>
      </c>
      <c r="E24" s="144" t="s">
        <v>718</v>
      </c>
      <c r="F24" s="144" t="s">
        <v>166</v>
      </c>
      <c r="G24" s="144"/>
      <c r="H24" s="340"/>
      <c r="I24" s="144">
        <v>15</v>
      </c>
      <c r="J24" s="77">
        <v>4806</v>
      </c>
      <c r="K24" s="253"/>
      <c r="L24" s="68">
        <f t="shared" si="0"/>
        <v>4806</v>
      </c>
      <c r="M24" s="253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3" t="s">
        <v>719</v>
      </c>
    </row>
    <row r="25" spans="2:18" ht="24.75" customHeight="1">
      <c r="B25" s="3">
        <v>14</v>
      </c>
      <c r="C25" s="144" t="s">
        <v>726</v>
      </c>
      <c r="D25" s="144" t="s">
        <v>185</v>
      </c>
      <c r="E25" s="144" t="s">
        <v>727</v>
      </c>
      <c r="F25" s="144" t="s">
        <v>166</v>
      </c>
      <c r="G25" s="144"/>
      <c r="H25" s="340"/>
      <c r="I25" s="144">
        <v>15</v>
      </c>
      <c r="J25" s="77">
        <v>4806</v>
      </c>
      <c r="K25" s="253"/>
      <c r="L25" s="68">
        <f t="shared" si="0"/>
        <v>4806</v>
      </c>
      <c r="M25" s="253"/>
      <c r="N25" s="253">
        <v>386</v>
      </c>
      <c r="O25" s="68">
        <f t="shared" si="1"/>
        <v>386</v>
      </c>
      <c r="P25" s="141">
        <f t="shared" si="2"/>
        <v>4420</v>
      </c>
      <c r="Q25" s="144"/>
      <c r="R25" s="413" t="s">
        <v>732</v>
      </c>
    </row>
    <row r="26" spans="2:18" ht="24.75" customHeight="1">
      <c r="B26" s="3">
        <v>15</v>
      </c>
      <c r="C26" s="144" t="s">
        <v>171</v>
      </c>
      <c r="D26" s="144" t="s">
        <v>746</v>
      </c>
      <c r="E26" s="144" t="s">
        <v>747</v>
      </c>
      <c r="F26" s="144" t="s">
        <v>166</v>
      </c>
      <c r="G26" s="144"/>
      <c r="H26" s="579"/>
      <c r="I26" s="144">
        <v>15</v>
      </c>
      <c r="J26" s="77">
        <v>4806</v>
      </c>
      <c r="K26" s="253"/>
      <c r="L26" s="77">
        <f t="shared" si="0"/>
        <v>4806</v>
      </c>
      <c r="M26" s="253"/>
      <c r="N26" s="253">
        <v>386</v>
      </c>
      <c r="O26" s="77">
        <f t="shared" si="1"/>
        <v>386</v>
      </c>
      <c r="P26" s="76">
        <f t="shared" si="2"/>
        <v>4420</v>
      </c>
      <c r="Q26" s="144"/>
      <c r="R26" s="413" t="s">
        <v>748</v>
      </c>
    </row>
    <row r="27" spans="2:18" ht="24.75" customHeight="1">
      <c r="B27" s="3">
        <v>16</v>
      </c>
      <c r="C27" s="144" t="s">
        <v>692</v>
      </c>
      <c r="D27" s="144" t="s">
        <v>749</v>
      </c>
      <c r="E27" s="144" t="s">
        <v>750</v>
      </c>
      <c r="F27" s="144" t="s">
        <v>166</v>
      </c>
      <c r="G27" s="144"/>
      <c r="H27" s="579"/>
      <c r="I27" s="144">
        <v>15</v>
      </c>
      <c r="J27" s="77">
        <v>4806</v>
      </c>
      <c r="K27" s="253"/>
      <c r="L27" s="77">
        <f t="shared" si="0"/>
        <v>4806</v>
      </c>
      <c r="M27" s="253"/>
      <c r="N27" s="253">
        <v>386</v>
      </c>
      <c r="O27" s="77">
        <f t="shared" si="1"/>
        <v>386</v>
      </c>
      <c r="P27" s="76">
        <f t="shared" si="2"/>
        <v>4420</v>
      </c>
      <c r="Q27" s="144"/>
      <c r="R27" s="413" t="s">
        <v>748</v>
      </c>
    </row>
    <row r="28" spans="2:18" ht="22.5" customHeight="1" thickBot="1">
      <c r="B28" s="694" t="s">
        <v>45</v>
      </c>
      <c r="C28" s="695"/>
      <c r="D28" s="695"/>
      <c r="E28" s="695"/>
      <c r="F28" s="695"/>
      <c r="G28" s="695"/>
      <c r="H28" s="695"/>
      <c r="I28" s="695"/>
      <c r="J28" s="564">
        <f>SUM(J12:K24)</f>
        <v>64696</v>
      </c>
      <c r="K28" s="564">
        <f t="shared" ref="K28" si="6">SUM(K12:K22)</f>
        <v>0</v>
      </c>
      <c r="L28" s="564">
        <f>SUM(L12:L27)</f>
        <v>79114</v>
      </c>
      <c r="M28" s="564">
        <f>SUM(M12:M22)</f>
        <v>0</v>
      </c>
      <c r="N28" s="564">
        <f>SUM(N12:N27)</f>
        <v>6570</v>
      </c>
      <c r="O28" s="564">
        <f>SUM(O12:O27)</f>
        <v>6570</v>
      </c>
      <c r="P28" s="252">
        <f>SUM(P12:P27)</f>
        <v>72544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1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1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1"/>
      <c r="I31" s="687"/>
      <c r="J31" s="687"/>
      <c r="K31" s="687"/>
      <c r="L31" s="687"/>
      <c r="M31" s="687"/>
      <c r="N31" s="147"/>
      <c r="O31" s="685"/>
      <c r="P31" s="685"/>
      <c r="Q31" s="685"/>
    </row>
    <row r="32" spans="2:18" ht="15" customHeight="1">
      <c r="B32" s="651" t="s">
        <v>807</v>
      </c>
      <c r="C32" s="651"/>
      <c r="D32" s="651"/>
      <c r="E32" s="651"/>
      <c r="F32" s="149"/>
      <c r="G32" s="149"/>
      <c r="H32" s="342"/>
      <c r="I32" s="651" t="s">
        <v>757</v>
      </c>
      <c r="J32" s="651"/>
      <c r="K32" s="651"/>
      <c r="L32" s="651"/>
      <c r="M32" s="651"/>
      <c r="O32" s="651" t="s">
        <v>701</v>
      </c>
      <c r="P32" s="651"/>
      <c r="Q32" s="651"/>
    </row>
    <row r="33" spans="2:17" ht="12.75">
      <c r="B33" s="651" t="s">
        <v>145</v>
      </c>
      <c r="C33" s="651"/>
      <c r="D33" s="651"/>
      <c r="E33" s="651"/>
      <c r="F33" s="149"/>
      <c r="I33" s="651" t="s">
        <v>146</v>
      </c>
      <c r="J33" s="651"/>
      <c r="K33" s="651"/>
      <c r="L33" s="651"/>
      <c r="M33" s="651"/>
      <c r="O33" s="686" t="s">
        <v>640</v>
      </c>
      <c r="P33" s="686"/>
      <c r="Q33" s="686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72544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" workbookViewId="0">
      <selection activeCell="M18" sqref="M18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4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3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705" t="s">
        <v>206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7"/>
    </row>
    <row r="4" spans="2:21" ht="17.25">
      <c r="B4" s="679" t="s">
        <v>794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9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0" t="s">
        <v>530</v>
      </c>
      <c r="D6" s="250"/>
      <c r="E6" s="59"/>
      <c r="F6" s="59"/>
      <c r="G6" s="59"/>
      <c r="H6" s="59"/>
      <c r="I6" s="59"/>
      <c r="J6" s="345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4" t="s">
        <v>54</v>
      </c>
      <c r="C7" s="485"/>
      <c r="D7" s="485"/>
      <c r="E7" s="485"/>
      <c r="F7" s="702"/>
      <c r="G7" s="702"/>
      <c r="H7" s="702"/>
      <c r="I7" s="486"/>
      <c r="J7" s="486"/>
      <c r="K7" s="701" t="s">
        <v>55</v>
      </c>
      <c r="L7" s="701"/>
      <c r="M7" s="701"/>
      <c r="N7" s="701"/>
      <c r="O7" s="701"/>
      <c r="P7" s="703" t="s">
        <v>56</v>
      </c>
      <c r="Q7" s="704"/>
      <c r="R7" s="487"/>
      <c r="S7" s="710" t="s">
        <v>29</v>
      </c>
    </row>
    <row r="8" spans="2:21">
      <c r="B8" s="488" t="s">
        <v>57</v>
      </c>
      <c r="C8" s="489" t="s">
        <v>47</v>
      </c>
      <c r="D8" s="490"/>
      <c r="E8" s="490"/>
      <c r="F8" s="491"/>
      <c r="G8" s="492"/>
      <c r="H8" s="493" t="s">
        <v>58</v>
      </c>
      <c r="I8" s="493"/>
      <c r="J8" s="493"/>
      <c r="K8" s="494" t="s">
        <v>59</v>
      </c>
      <c r="L8" s="495" t="s">
        <v>60</v>
      </c>
      <c r="M8" s="494" t="s">
        <v>61</v>
      </c>
      <c r="N8" s="494" t="s">
        <v>62</v>
      </c>
      <c r="O8" s="494"/>
      <c r="P8" s="494"/>
      <c r="Q8" s="494" t="s">
        <v>63</v>
      </c>
      <c r="R8" s="496"/>
      <c r="S8" s="711"/>
    </row>
    <row r="9" spans="2:21">
      <c r="B9" s="497" t="s">
        <v>64</v>
      </c>
      <c r="C9" s="498" t="s">
        <v>48</v>
      </c>
      <c r="D9" s="498" t="s">
        <v>49</v>
      </c>
      <c r="E9" s="498" t="s">
        <v>50</v>
      </c>
      <c r="F9" s="498" t="s">
        <v>51</v>
      </c>
      <c r="G9" s="499" t="s">
        <v>52</v>
      </c>
      <c r="H9" s="500" t="s">
        <v>65</v>
      </c>
      <c r="I9" s="500"/>
      <c r="J9" s="500"/>
      <c r="K9" s="501" t="s">
        <v>66</v>
      </c>
      <c r="L9" s="502" t="s">
        <v>67</v>
      </c>
      <c r="M9" s="501" t="s">
        <v>68</v>
      </c>
      <c r="N9" s="501" t="s">
        <v>69</v>
      </c>
      <c r="O9" s="501" t="s">
        <v>561</v>
      </c>
      <c r="P9" s="501" t="s">
        <v>70</v>
      </c>
      <c r="Q9" s="501" t="s">
        <v>71</v>
      </c>
      <c r="R9" s="587" t="s">
        <v>72</v>
      </c>
      <c r="S9" s="712"/>
    </row>
    <row r="10" spans="2:21">
      <c r="B10" s="97"/>
      <c r="C10" s="62"/>
      <c r="D10" s="62"/>
      <c r="E10" s="62"/>
      <c r="F10" s="62"/>
      <c r="G10" s="62"/>
      <c r="H10" s="62"/>
      <c r="I10" s="62"/>
      <c r="J10" s="346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616">
        <v>1</v>
      </c>
      <c r="C11" s="617" t="s">
        <v>73</v>
      </c>
      <c r="D11" s="617" t="s">
        <v>74</v>
      </c>
      <c r="E11" s="617" t="s">
        <v>75</v>
      </c>
      <c r="F11" s="617" t="s">
        <v>76</v>
      </c>
      <c r="G11" s="618"/>
      <c r="H11" s="619">
        <v>15</v>
      </c>
      <c r="I11" s="620">
        <f>K11/15</f>
        <v>226.364</v>
      </c>
      <c r="J11" s="621">
        <f>6996/2</f>
        <v>3498</v>
      </c>
      <c r="K11" s="622">
        <v>3395.46</v>
      </c>
      <c r="L11" s="622"/>
      <c r="M11" s="622">
        <f>K11</f>
        <v>3395.46</v>
      </c>
      <c r="N11" s="622">
        <v>0</v>
      </c>
      <c r="O11" s="622"/>
      <c r="P11" s="622">
        <v>140</v>
      </c>
      <c r="Q11" s="622">
        <f>O11+P11</f>
        <v>140</v>
      </c>
      <c r="R11" s="623">
        <f>M11-Q11</f>
        <v>3255.46</v>
      </c>
      <c r="S11" s="624"/>
      <c r="T11" s="615" t="s">
        <v>793</v>
      </c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47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47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47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48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171</v>
      </c>
      <c r="D16" s="7" t="s">
        <v>204</v>
      </c>
      <c r="E16" s="7" t="s">
        <v>209</v>
      </c>
      <c r="F16" s="7" t="s">
        <v>76</v>
      </c>
      <c r="G16" s="65"/>
      <c r="H16" s="66">
        <v>15</v>
      </c>
      <c r="I16" s="67">
        <f t="shared" si="0"/>
        <v>267.66666666666669</v>
      </c>
      <c r="J16" s="347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47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47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47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48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556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47">
        <f>6006/2</f>
        <v>3003</v>
      </c>
      <c r="K21" s="450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49">
        <f>5166/2</f>
        <v>2583</v>
      </c>
      <c r="K22" s="451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0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259</v>
      </c>
      <c r="G24" s="66"/>
      <c r="H24" s="66">
        <v>15</v>
      </c>
      <c r="I24" s="86">
        <f t="shared" si="4"/>
        <v>148.66666666666666</v>
      </c>
      <c r="J24" s="350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0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0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276</v>
      </c>
      <c r="D27" s="2" t="s">
        <v>171</v>
      </c>
      <c r="E27" s="2" t="s">
        <v>277</v>
      </c>
      <c r="F27" s="99" t="s">
        <v>258</v>
      </c>
      <c r="G27" s="66"/>
      <c r="H27" s="66">
        <v>15</v>
      </c>
      <c r="I27" s="86">
        <f t="shared" si="4"/>
        <v>290.33333333333331</v>
      </c>
      <c r="J27" s="350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0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0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0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104</v>
      </c>
      <c r="D31" s="2" t="s">
        <v>137</v>
      </c>
      <c r="E31" s="2" t="s">
        <v>138</v>
      </c>
      <c r="F31" s="2" t="s">
        <v>103</v>
      </c>
      <c r="G31" s="75"/>
      <c r="H31" s="75">
        <v>15</v>
      </c>
      <c r="I31" s="580">
        <f t="shared" si="4"/>
        <v>238</v>
      </c>
      <c r="J31" s="581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11">
        <f t="shared" si="3"/>
        <v>3427</v>
      </c>
      <c r="S31" s="582"/>
      <c r="U31" s="48">
        <v>3191.57</v>
      </c>
    </row>
    <row r="32" spans="2:21" ht="27.95" customHeight="1">
      <c r="B32" s="8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75"/>
      <c r="H32" s="75">
        <v>15</v>
      </c>
      <c r="I32" s="580">
        <f t="shared" si="4"/>
        <v>233</v>
      </c>
      <c r="J32" s="581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11">
        <f t="shared" si="3"/>
        <v>3379</v>
      </c>
      <c r="S32" s="582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1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0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713" t="s">
        <v>53</v>
      </c>
      <c r="C35" s="714"/>
      <c r="D35" s="714"/>
      <c r="E35" s="714"/>
      <c r="F35" s="715"/>
      <c r="G35" s="565"/>
      <c r="H35" s="566"/>
      <c r="I35" s="567"/>
      <c r="J35" s="568"/>
      <c r="K35" s="566">
        <f t="shared" ref="K35:Q35" si="5">SUM(K11:K34)</f>
        <v>83838.459999999992</v>
      </c>
      <c r="L35" s="566">
        <f t="shared" si="5"/>
        <v>0</v>
      </c>
      <c r="M35" s="566">
        <f t="shared" si="5"/>
        <v>83838.459999999992</v>
      </c>
      <c r="N35" s="566">
        <f t="shared" si="5"/>
        <v>421.13</v>
      </c>
      <c r="O35" s="566">
        <f>SUM(O11:O34)</f>
        <v>0</v>
      </c>
      <c r="P35" s="566">
        <f t="shared" si="5"/>
        <v>5149</v>
      </c>
      <c r="Q35" s="566">
        <f t="shared" si="5"/>
        <v>5149</v>
      </c>
      <c r="R35" s="515">
        <f>SUM(R11:R34)</f>
        <v>79110.59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6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2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70" t="s">
        <v>807</v>
      </c>
      <c r="C38" s="670"/>
      <c r="D38" s="670"/>
      <c r="E38" s="670"/>
      <c r="F38" s="62"/>
      <c r="G38" s="62"/>
      <c r="H38" s="62"/>
      <c r="I38" s="62"/>
      <c r="J38" s="346"/>
      <c r="K38" s="63"/>
      <c r="L38" s="63"/>
      <c r="M38" s="63"/>
      <c r="N38" s="63"/>
      <c r="O38" s="405"/>
      <c r="P38" s="670" t="s">
        <v>639</v>
      </c>
      <c r="Q38" s="670"/>
      <c r="R38" s="670"/>
      <c r="S38" s="62"/>
    </row>
    <row r="39" spans="1:21" ht="15" customHeight="1">
      <c r="A39" s="62"/>
      <c r="B39" s="650" t="s">
        <v>638</v>
      </c>
      <c r="C39" s="650"/>
      <c r="D39" s="650"/>
      <c r="E39" s="650"/>
      <c r="F39" s="650" t="s">
        <v>146</v>
      </c>
      <c r="G39" s="650"/>
      <c r="H39" s="650"/>
      <c r="I39" s="650"/>
      <c r="J39" s="650"/>
      <c r="K39" s="650"/>
      <c r="L39" s="650"/>
      <c r="M39" s="650"/>
      <c r="N39" s="6"/>
      <c r="O39" s="6"/>
      <c r="P39" s="650" t="s">
        <v>30</v>
      </c>
      <c r="Q39" s="650"/>
      <c r="R39" s="650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6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147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148</v>
      </c>
    </row>
    <row r="44" spans="1:21">
      <c r="K44" s="60"/>
      <c r="R44" s="48">
        <f>M35+N35-Q35</f>
        <v>79110.59</v>
      </c>
    </row>
    <row r="45" spans="1:21">
      <c r="M45" s="56"/>
      <c r="R45" s="48">
        <f>R35-R44</f>
        <v>0</v>
      </c>
    </row>
    <row r="52" spans="6:14">
      <c r="F52" s="650"/>
      <c r="G52" s="650"/>
      <c r="H52" s="650"/>
      <c r="I52" s="650"/>
      <c r="J52" s="650"/>
      <c r="K52" s="650"/>
      <c r="L52" s="650"/>
      <c r="M52" s="650"/>
      <c r="N52" s="650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17" t="s">
        <v>720</v>
      </c>
      <c r="B2" s="717"/>
    </row>
    <row r="3" spans="1:7" ht="7.5" customHeight="1">
      <c r="A3" s="244"/>
      <c r="B3" s="244"/>
    </row>
    <row r="4" spans="1:7">
      <c r="A4" s="716" t="s">
        <v>531</v>
      </c>
      <c r="B4" s="716"/>
    </row>
    <row r="6" spans="1:7" ht="30">
      <c r="A6" s="165" t="s">
        <v>272</v>
      </c>
      <c r="B6" s="165" t="s">
        <v>273</v>
      </c>
      <c r="C6" s="165" t="s">
        <v>274</v>
      </c>
      <c r="D6" s="447" t="s">
        <v>725</v>
      </c>
      <c r="E6" s="232" t="s">
        <v>721</v>
      </c>
      <c r="F6" s="232" t="s">
        <v>722</v>
      </c>
      <c r="G6" s="446" t="s">
        <v>724</v>
      </c>
    </row>
    <row r="7" spans="1:7">
      <c r="A7" s="165"/>
      <c r="B7" s="165"/>
      <c r="C7" s="166"/>
    </row>
    <row r="8" spans="1:7">
      <c r="A8" s="165" t="s">
        <v>555</v>
      </c>
      <c r="B8" s="165" t="s">
        <v>290</v>
      </c>
      <c r="C8" s="166">
        <v>1312.5</v>
      </c>
      <c r="D8" s="444">
        <f>C8*4%</f>
        <v>52.5</v>
      </c>
      <c r="E8" s="444">
        <f>C8+D8</f>
        <v>1365</v>
      </c>
      <c r="F8" s="165">
        <v>200</v>
      </c>
      <c r="G8" s="445">
        <f>E8+F8</f>
        <v>1565</v>
      </c>
    </row>
    <row r="9" spans="1:7">
      <c r="A9" s="165" t="s">
        <v>606</v>
      </c>
      <c r="B9" s="165" t="s">
        <v>607</v>
      </c>
      <c r="C9" s="166">
        <v>1902.6</v>
      </c>
      <c r="D9" s="444">
        <f t="shared" ref="D9:D10" si="0">C9*4%</f>
        <v>76.103999999999999</v>
      </c>
      <c r="E9" s="444">
        <f t="shared" ref="E9:E10" si="1">C9+D9</f>
        <v>1978.704</v>
      </c>
      <c r="F9" s="165"/>
      <c r="G9" s="445">
        <f t="shared" ref="G9:G10" si="2">E9+F9</f>
        <v>1978.704</v>
      </c>
    </row>
    <row r="10" spans="1:7">
      <c r="A10" s="165" t="s">
        <v>663</v>
      </c>
      <c r="B10" s="165" t="s">
        <v>723</v>
      </c>
      <c r="C10" s="166">
        <v>1800</v>
      </c>
      <c r="D10" s="444">
        <f t="shared" si="0"/>
        <v>72</v>
      </c>
      <c r="E10" s="444">
        <f t="shared" si="1"/>
        <v>1872</v>
      </c>
      <c r="F10" s="165"/>
      <c r="G10" s="445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48"/>
    </row>
    <row r="17" spans="1:1" ht="15.75">
      <c r="A17" s="448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C25" sqref="C25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36"/>
    <col min="15" max="16384" width="13.42578125" style="151"/>
  </cols>
  <sheetData>
    <row r="1" spans="2:15">
      <c r="B1" s="35"/>
      <c r="C1" s="641"/>
      <c r="D1" s="642"/>
      <c r="E1" s="642"/>
      <c r="F1" s="642"/>
      <c r="G1" s="642"/>
      <c r="H1" s="23"/>
      <c r="I1" s="23"/>
      <c r="J1" s="23"/>
      <c r="K1" s="23"/>
      <c r="L1" s="15"/>
    </row>
    <row r="2" spans="2:15" ht="19.5">
      <c r="B2" s="643" t="s">
        <v>206</v>
      </c>
      <c r="C2" s="644"/>
      <c r="D2" s="644"/>
      <c r="E2" s="644"/>
      <c r="F2" s="644"/>
      <c r="G2" s="644"/>
      <c r="H2" s="644"/>
      <c r="I2" s="644"/>
      <c r="J2" s="644"/>
      <c r="K2" s="645"/>
      <c r="L2" s="433"/>
    </row>
    <row r="3" spans="2:15">
      <c r="B3" s="646" t="s">
        <v>804</v>
      </c>
      <c r="C3" s="647"/>
      <c r="D3" s="647"/>
      <c r="E3" s="647"/>
      <c r="F3" s="647"/>
      <c r="G3" s="647"/>
      <c r="H3" s="647"/>
      <c r="I3" s="647"/>
      <c r="J3" s="647"/>
      <c r="K3" s="648"/>
      <c r="L3" s="423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3" t="s">
        <v>1</v>
      </c>
      <c r="C6" s="452" t="s">
        <v>2</v>
      </c>
      <c r="D6" s="452" t="s">
        <v>219</v>
      </c>
      <c r="E6" s="452" t="s">
        <v>4</v>
      </c>
      <c r="F6" s="452" t="s">
        <v>5</v>
      </c>
      <c r="G6" s="452" t="s">
        <v>44</v>
      </c>
      <c r="H6" s="452" t="s">
        <v>43</v>
      </c>
      <c r="I6" s="504" t="s">
        <v>6</v>
      </c>
      <c r="J6" s="454" t="s">
        <v>7</v>
      </c>
      <c r="K6" s="505" t="s">
        <v>29</v>
      </c>
      <c r="L6" s="434"/>
    </row>
    <row r="7" spans="2:15">
      <c r="B7" s="42" t="s">
        <v>703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260</v>
      </c>
      <c r="C8" s="3" t="s">
        <v>558</v>
      </c>
      <c r="D8" s="424" t="s">
        <v>245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707</v>
      </c>
      <c r="M8" s="436">
        <v>685.34</v>
      </c>
      <c r="O8" s="153">
        <v>3585</v>
      </c>
    </row>
    <row r="9" spans="2:15" ht="39.950000000000003" customHeight="1">
      <c r="B9" s="154" t="s">
        <v>261</v>
      </c>
      <c r="C9" s="3" t="s">
        <v>250</v>
      </c>
      <c r="D9" s="9" t="s">
        <v>239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707</v>
      </c>
      <c r="M9" s="436">
        <v>479.68</v>
      </c>
      <c r="O9" s="153">
        <v>2375</v>
      </c>
    </row>
    <row r="10" spans="2:15" ht="15" customHeight="1">
      <c r="B10" s="425"/>
      <c r="C10" s="719" t="s">
        <v>705</v>
      </c>
      <c r="D10" s="719"/>
      <c r="E10" s="430"/>
      <c r="F10" s="430">
        <f>SUM(F8:F9)</f>
        <v>6198</v>
      </c>
      <c r="G10" s="430">
        <f>SUM(G8:G9)</f>
        <v>0</v>
      </c>
      <c r="H10" s="430"/>
      <c r="I10" s="430">
        <f>SUM(I8:I9)</f>
        <v>0</v>
      </c>
      <c r="J10" s="430">
        <f>SUM(J8:J9)</f>
        <v>6198</v>
      </c>
      <c r="K10" s="570"/>
      <c r="L10" s="15"/>
      <c r="N10" s="438">
        <f>M12/15</f>
        <v>149.4</v>
      </c>
      <c r="O10" s="153"/>
    </row>
    <row r="11" spans="2:15" ht="15" customHeight="1">
      <c r="B11" s="718" t="s">
        <v>704</v>
      </c>
      <c r="C11" s="718"/>
      <c r="D11" s="255"/>
      <c r="E11" s="255"/>
      <c r="F11" s="255"/>
      <c r="G11" s="255"/>
      <c r="H11" s="255"/>
      <c r="I11" s="255"/>
      <c r="J11" s="255"/>
      <c r="K11" s="15"/>
      <c r="L11" s="15"/>
      <c r="M11" s="437"/>
      <c r="N11" s="438">
        <f>N10*3</f>
        <v>448.20000000000005</v>
      </c>
      <c r="O11" s="426"/>
    </row>
    <row r="12" spans="2:15" s="365" customFormat="1" ht="39.950000000000003" customHeight="1">
      <c r="B12" s="361" t="s">
        <v>262</v>
      </c>
      <c r="C12" s="362" t="s">
        <v>412</v>
      </c>
      <c r="D12" s="305" t="s">
        <v>241</v>
      </c>
      <c r="E12" s="305">
        <v>0</v>
      </c>
      <c r="F12" s="305">
        <v>2098</v>
      </c>
      <c r="G12" s="305">
        <v>0</v>
      </c>
      <c r="H12" s="305"/>
      <c r="I12" s="305">
        <f t="shared" si="0"/>
        <v>0</v>
      </c>
      <c r="J12" s="305">
        <f>F12</f>
        <v>2098</v>
      </c>
      <c r="K12" s="362"/>
      <c r="L12" s="122" t="s">
        <v>708</v>
      </c>
      <c r="M12" s="438">
        <v>2241</v>
      </c>
      <c r="N12" s="436">
        <f>N11*100%*90%</f>
        <v>403.38000000000005</v>
      </c>
      <c r="O12" s="366">
        <v>2016.9</v>
      </c>
    </row>
    <row r="13" spans="2:15" ht="39.950000000000003" customHeight="1">
      <c r="B13" s="154" t="s">
        <v>263</v>
      </c>
      <c r="C13" s="3" t="s">
        <v>706</v>
      </c>
      <c r="D13" s="435" t="s">
        <v>710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709</v>
      </c>
      <c r="M13" s="436">
        <v>4621</v>
      </c>
      <c r="N13" s="436">
        <f>M13*100%*60%</f>
        <v>2772.6</v>
      </c>
      <c r="O13" s="153">
        <v>2770.6</v>
      </c>
    </row>
    <row r="14" spans="2:15" s="365" customFormat="1" ht="15" customHeight="1">
      <c r="B14" s="427"/>
      <c r="C14" s="720" t="s">
        <v>705</v>
      </c>
      <c r="D14" s="720"/>
      <c r="E14" s="429"/>
      <c r="F14" s="429">
        <f>SUM(F12:F13)</f>
        <v>4979</v>
      </c>
      <c r="G14" s="429">
        <f>SUM(G12)</f>
        <v>0</v>
      </c>
      <c r="H14" s="429"/>
      <c r="I14" s="429">
        <f>SUM(I12)</f>
        <v>0</v>
      </c>
      <c r="J14" s="429">
        <f>SUM(J12:J13)</f>
        <v>4979</v>
      </c>
      <c r="K14" s="569"/>
      <c r="L14" s="122"/>
      <c r="M14" s="438"/>
      <c r="O14" s="366"/>
    </row>
    <row r="15" spans="2:15" s="365" customFormat="1" ht="15" customHeight="1">
      <c r="B15" s="427"/>
      <c r="C15" s="122"/>
      <c r="D15" s="428"/>
      <c r="E15" s="428"/>
      <c r="F15" s="428"/>
      <c r="G15" s="428"/>
      <c r="H15" s="428"/>
      <c r="I15" s="428"/>
      <c r="J15" s="428"/>
      <c r="K15" s="122"/>
      <c r="L15" s="122"/>
      <c r="M15" s="438"/>
      <c r="O15" s="366"/>
    </row>
    <row r="16" spans="2:15" ht="15.75" thickBot="1">
      <c r="B16" s="159"/>
      <c r="C16" s="509" t="s">
        <v>45</v>
      </c>
      <c r="D16" s="510"/>
      <c r="E16" s="510">
        <f>SUM(E8:E12)</f>
        <v>0</v>
      </c>
      <c r="F16" s="510">
        <f>SUM(F10+F14)</f>
        <v>11177</v>
      </c>
      <c r="G16" s="510">
        <f>SUM(G8:G12)</f>
        <v>0</v>
      </c>
      <c r="H16" s="510">
        <f>SUM(H8:H12)</f>
        <v>0</v>
      </c>
      <c r="I16" s="510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217</v>
      </c>
    </row>
    <row r="19" spans="2:19">
      <c r="E19" s="164"/>
      <c r="F19" s="164"/>
      <c r="G19" s="164"/>
      <c r="H19" s="164"/>
      <c r="J19" s="164"/>
      <c r="K19" s="164"/>
      <c r="M19" s="437"/>
      <c r="O19" s="153"/>
      <c r="R19" s="156">
        <v>53056.03</v>
      </c>
      <c r="S19" s="151" t="s">
        <v>218</v>
      </c>
    </row>
    <row r="20" spans="2:19">
      <c r="B20" s="649" t="s">
        <v>807</v>
      </c>
      <c r="C20" s="649"/>
      <c r="E20" s="650" t="s">
        <v>757</v>
      </c>
      <c r="F20" s="650"/>
      <c r="G20" s="650"/>
      <c r="H20" s="650"/>
      <c r="J20" s="649" t="s">
        <v>701</v>
      </c>
      <c r="K20" s="649"/>
      <c r="L20" s="405"/>
      <c r="M20" s="439"/>
      <c r="O20" s="98"/>
      <c r="P20" s="98"/>
      <c r="R20" s="157"/>
    </row>
    <row r="21" spans="2:19">
      <c r="B21" s="650" t="s">
        <v>145</v>
      </c>
      <c r="C21" s="650"/>
      <c r="E21" s="650" t="s">
        <v>146</v>
      </c>
      <c r="F21" s="650"/>
      <c r="G21" s="650"/>
      <c r="H21" s="650"/>
      <c r="J21" s="650" t="s">
        <v>30</v>
      </c>
      <c r="K21" s="650"/>
      <c r="L21" s="405"/>
      <c r="M21" s="440"/>
      <c r="O21" s="6"/>
      <c r="P21" s="6"/>
    </row>
    <row r="22" spans="2:19">
      <c r="O22" s="153"/>
    </row>
    <row r="23" spans="2:19">
      <c r="J23" s="258">
        <f>F16+G16-H16</f>
        <v>11177</v>
      </c>
      <c r="O23" s="153"/>
      <c r="R23" s="156">
        <v>96237.05</v>
      </c>
      <c r="S23" s="151" t="s">
        <v>208</v>
      </c>
    </row>
    <row r="24" spans="2:19">
      <c r="J24" s="258">
        <f>J16-J23</f>
        <v>0</v>
      </c>
      <c r="O24" s="153"/>
    </row>
    <row r="25" spans="2:19">
      <c r="O25" s="153"/>
      <c r="R25" s="156">
        <v>103878.79</v>
      </c>
      <c r="S25" s="151" t="s">
        <v>215</v>
      </c>
    </row>
    <row r="26" spans="2:19">
      <c r="O26" s="153"/>
    </row>
    <row r="27" spans="2:19">
      <c r="O27" s="153"/>
      <c r="R27" s="156">
        <v>128320</v>
      </c>
      <c r="S27" s="151" t="s">
        <v>256</v>
      </c>
    </row>
    <row r="28" spans="2:19">
      <c r="O28" s="161"/>
      <c r="R28" s="162">
        <f>SUM(R16:R27)</f>
        <v>462824.94</v>
      </c>
      <c r="S28" s="151" t="s">
        <v>257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K18" sqref="K18:L18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41"/>
      <c r="D1" s="642"/>
      <c r="E1" s="642"/>
      <c r="F1" s="642"/>
      <c r="G1" s="642"/>
      <c r="H1" s="642"/>
      <c r="I1" s="23"/>
      <c r="J1" s="23"/>
      <c r="K1" s="23"/>
      <c r="L1" s="23"/>
    </row>
    <row r="2" spans="2:19" ht="19.5">
      <c r="B2" s="643" t="s">
        <v>206</v>
      </c>
      <c r="C2" s="644"/>
      <c r="D2" s="644"/>
      <c r="E2" s="644"/>
      <c r="F2" s="644"/>
      <c r="G2" s="644"/>
      <c r="H2" s="644"/>
      <c r="I2" s="644"/>
      <c r="J2" s="644"/>
      <c r="K2" s="644"/>
      <c r="L2" s="645"/>
    </row>
    <row r="3" spans="2:19">
      <c r="B3" s="646" t="s">
        <v>804</v>
      </c>
      <c r="C3" s="647"/>
      <c r="D3" s="647"/>
      <c r="E3" s="647"/>
      <c r="F3" s="647"/>
      <c r="G3" s="647"/>
      <c r="H3" s="647"/>
      <c r="I3" s="647"/>
      <c r="J3" s="647"/>
      <c r="K3" s="647"/>
      <c r="L3" s="648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3" t="s">
        <v>1</v>
      </c>
      <c r="C6" s="723" t="s">
        <v>2</v>
      </c>
      <c r="D6" s="724"/>
      <c r="E6" s="452" t="s">
        <v>219</v>
      </c>
      <c r="F6" s="452" t="s">
        <v>4</v>
      </c>
      <c r="G6" s="452" t="s">
        <v>5</v>
      </c>
      <c r="H6" s="452" t="s">
        <v>44</v>
      </c>
      <c r="I6" s="452" t="s">
        <v>43</v>
      </c>
      <c r="J6" s="452" t="s">
        <v>6</v>
      </c>
      <c r="K6" s="452" t="s">
        <v>7</v>
      </c>
      <c r="L6" s="453" t="s">
        <v>29</v>
      </c>
    </row>
    <row r="7" spans="2:19">
      <c r="B7" s="42" t="s">
        <v>351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260</v>
      </c>
      <c r="C8" s="637" t="s">
        <v>344</v>
      </c>
      <c r="D8" s="638"/>
      <c r="E8" s="9" t="s">
        <v>222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5" customFormat="1" ht="39.950000000000003" customHeight="1">
      <c r="B9" s="361" t="s">
        <v>261</v>
      </c>
      <c r="C9" s="721" t="s">
        <v>345</v>
      </c>
      <c r="D9" s="722"/>
      <c r="E9" s="305" t="s">
        <v>231</v>
      </c>
      <c r="F9" s="305">
        <v>0</v>
      </c>
      <c r="G9" s="305">
        <v>4830</v>
      </c>
      <c r="H9" s="305">
        <v>0</v>
      </c>
      <c r="I9" s="305"/>
      <c r="J9" s="305">
        <f t="shared" ref="J9:J13" si="0">I9</f>
        <v>0</v>
      </c>
      <c r="K9" s="363">
        <f>G9</f>
        <v>4830</v>
      </c>
      <c r="L9" s="364"/>
      <c r="O9" s="366"/>
    </row>
    <row r="10" spans="2:19" ht="39.950000000000003" customHeight="1">
      <c r="B10" s="154" t="s">
        <v>262</v>
      </c>
      <c r="C10" s="637" t="s">
        <v>346</v>
      </c>
      <c r="D10" s="638"/>
      <c r="E10" s="9" t="s">
        <v>239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263</v>
      </c>
      <c r="C11" s="637" t="s">
        <v>347</v>
      </c>
      <c r="D11" s="638"/>
      <c r="E11" s="9" t="s">
        <v>239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264</v>
      </c>
      <c r="C12" s="637" t="s">
        <v>348</v>
      </c>
      <c r="D12" s="638"/>
      <c r="E12" s="9" t="s">
        <v>349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265</v>
      </c>
      <c r="C13" s="637" t="s">
        <v>350</v>
      </c>
      <c r="D13" s="638"/>
      <c r="E13" s="9" t="s">
        <v>239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09" t="s">
        <v>45</v>
      </c>
      <c r="D14" s="510">
        <f>SUM(D8:D13)</f>
        <v>0</v>
      </c>
      <c r="E14" s="510"/>
      <c r="F14" s="510">
        <f t="shared" ref="F14:J14" si="2">SUM(F8:F13)</f>
        <v>0</v>
      </c>
      <c r="G14" s="510">
        <f>SUM(G8:G13)</f>
        <v>23607</v>
      </c>
      <c r="H14" s="510">
        <f t="shared" si="2"/>
        <v>0</v>
      </c>
      <c r="I14" s="510">
        <f t="shared" si="2"/>
        <v>0</v>
      </c>
      <c r="J14" s="510">
        <f t="shared" si="2"/>
        <v>0</v>
      </c>
      <c r="K14" s="211">
        <f>SUM(K8:K13)</f>
        <v>23607</v>
      </c>
      <c r="L14" s="543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217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218</v>
      </c>
    </row>
    <row r="18" spans="2:19">
      <c r="B18" s="649" t="s">
        <v>807</v>
      </c>
      <c r="C18" s="649"/>
      <c r="D18" s="163"/>
      <c r="F18" s="650" t="s">
        <v>757</v>
      </c>
      <c r="G18" s="650"/>
      <c r="H18" s="650"/>
      <c r="I18" s="650"/>
      <c r="K18" s="649" t="s">
        <v>701</v>
      </c>
      <c r="L18" s="649"/>
      <c r="M18" s="6"/>
      <c r="O18" s="98"/>
      <c r="P18" s="98"/>
      <c r="R18" s="157"/>
    </row>
    <row r="19" spans="2:19">
      <c r="B19" s="650" t="s">
        <v>145</v>
      </c>
      <c r="C19" s="650"/>
      <c r="D19" s="6"/>
      <c r="F19" s="650" t="s">
        <v>146</v>
      </c>
      <c r="G19" s="650"/>
      <c r="H19" s="650"/>
      <c r="I19" s="650"/>
      <c r="K19" s="650" t="s">
        <v>30</v>
      </c>
      <c r="L19" s="650"/>
      <c r="M19" s="6"/>
      <c r="O19" s="6"/>
      <c r="P19" s="6"/>
    </row>
    <row r="20" spans="2:19">
      <c r="O20" s="153"/>
    </row>
    <row r="21" spans="2:19">
      <c r="K21" s="258">
        <f>G14+H14-I14</f>
        <v>23607</v>
      </c>
      <c r="O21" s="153"/>
      <c r="R21" s="156">
        <v>96237.05</v>
      </c>
      <c r="S21" s="151" t="s">
        <v>208</v>
      </c>
    </row>
    <row r="22" spans="2:19">
      <c r="K22" s="258">
        <f>K14-K21</f>
        <v>0</v>
      </c>
      <c r="O22" s="153"/>
    </row>
    <row r="23" spans="2:19">
      <c r="O23" s="153"/>
      <c r="R23" s="156">
        <v>103878.79</v>
      </c>
      <c r="S23" s="151" t="s">
        <v>215</v>
      </c>
    </row>
    <row r="24" spans="2:19">
      <c r="O24" s="153"/>
    </row>
    <row r="25" spans="2:19">
      <c r="O25" s="153"/>
      <c r="R25" s="156">
        <v>128320</v>
      </c>
      <c r="S25" s="151" t="s">
        <v>256</v>
      </c>
    </row>
    <row r="26" spans="2:19">
      <c r="O26" s="161"/>
      <c r="R26" s="162">
        <f>SUM(R14:R25)</f>
        <v>462824.94</v>
      </c>
      <c r="S26" s="151" t="s">
        <v>257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9"/>
  <sheetViews>
    <sheetView topLeftCell="A25" zoomScale="91" zoomScaleNormal="91" workbookViewId="0">
      <selection activeCell="E43" sqref="E43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53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25" t="s">
        <v>540</v>
      </c>
      <c r="D2" s="725"/>
      <c r="E2" s="725"/>
      <c r="F2" s="725"/>
      <c r="G2" s="725"/>
      <c r="H2" s="725"/>
      <c r="I2" s="725"/>
      <c r="J2" s="725"/>
      <c r="K2" s="725"/>
      <c r="L2" s="725"/>
    </row>
    <row r="3" spans="2:14" ht="18.75">
      <c r="C3" s="725" t="s">
        <v>557</v>
      </c>
      <c r="D3" s="725"/>
      <c r="E3" s="725"/>
      <c r="F3" s="725"/>
      <c r="G3" s="725"/>
      <c r="H3" s="725"/>
      <c r="I3" s="725"/>
      <c r="J3" s="725"/>
      <c r="K3" s="725"/>
      <c r="L3" s="725"/>
    </row>
    <row r="4" spans="2:14" ht="8.25" customHeight="1">
      <c r="C4" s="234"/>
      <c r="D4" s="234"/>
      <c r="E4" s="234"/>
      <c r="F4" s="234"/>
      <c r="G4" s="235"/>
      <c r="H4" s="354"/>
      <c r="I4" s="280"/>
      <c r="J4" s="280"/>
    </row>
    <row r="5" spans="2:14" ht="18.75">
      <c r="C5" s="235"/>
      <c r="D5" s="725" t="s">
        <v>796</v>
      </c>
      <c r="E5" s="725"/>
      <c r="F5" s="725"/>
      <c r="G5" s="725"/>
      <c r="H5" s="725"/>
      <c r="I5" s="725"/>
      <c r="J5" s="725"/>
      <c r="K5" s="236"/>
      <c r="L5" s="237"/>
    </row>
    <row r="7" spans="2:14" ht="28.5" customHeight="1">
      <c r="B7" s="506"/>
      <c r="C7" s="507" t="s">
        <v>272</v>
      </c>
      <c r="D7" s="507" t="s">
        <v>52</v>
      </c>
      <c r="E7" s="507" t="s">
        <v>445</v>
      </c>
      <c r="F7" s="507" t="s">
        <v>446</v>
      </c>
      <c r="G7" s="507"/>
      <c r="H7" s="508"/>
      <c r="I7" s="508" t="s">
        <v>274</v>
      </c>
      <c r="J7" s="508" t="s">
        <v>567</v>
      </c>
      <c r="K7" s="508" t="s">
        <v>513</v>
      </c>
      <c r="L7" s="507" t="s">
        <v>29</v>
      </c>
    </row>
    <row r="9" spans="2:14" ht="30" customHeight="1">
      <c r="B9" s="165">
        <v>1</v>
      </c>
      <c r="C9" s="165" t="s">
        <v>278</v>
      </c>
      <c r="D9" s="165" t="s">
        <v>447</v>
      </c>
      <c r="E9" s="165" t="s">
        <v>448</v>
      </c>
      <c r="F9" s="165" t="s">
        <v>449</v>
      </c>
      <c r="G9" s="165">
        <f>G5</f>
        <v>0</v>
      </c>
      <c r="H9" s="355">
        <f>5174/2</f>
        <v>2587</v>
      </c>
      <c r="I9" s="281">
        <v>2690</v>
      </c>
      <c r="J9" s="279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279</v>
      </c>
      <c r="D10" s="165"/>
      <c r="E10" s="165" t="s">
        <v>450</v>
      </c>
      <c r="F10" s="165" t="s">
        <v>451</v>
      </c>
      <c r="G10" s="165">
        <f>G9</f>
        <v>0</v>
      </c>
      <c r="H10" s="355">
        <f>4578/2</f>
        <v>2289</v>
      </c>
      <c r="I10" s="281">
        <v>2381</v>
      </c>
      <c r="J10" s="279"/>
      <c r="K10" s="238">
        <f t="shared" ref="K10:K43" si="0">I10-J10</f>
        <v>2381</v>
      </c>
      <c r="L10" s="165"/>
    </row>
    <row r="11" spans="2:14" ht="30" customHeight="1">
      <c r="B11" s="165">
        <f t="shared" ref="B11:B54" si="1">B10+1</f>
        <v>3</v>
      </c>
      <c r="C11" s="165" t="s">
        <v>433</v>
      </c>
      <c r="D11" s="165" t="s">
        <v>514</v>
      </c>
      <c r="E11" s="165" t="s">
        <v>529</v>
      </c>
      <c r="F11" s="165"/>
      <c r="G11" s="165">
        <f>G10</f>
        <v>0</v>
      </c>
      <c r="H11" s="355">
        <f>7042/2</f>
        <v>3521</v>
      </c>
      <c r="I11" s="281">
        <v>1953.06</v>
      </c>
      <c r="J11" s="279"/>
      <c r="K11" s="238">
        <f t="shared" si="0"/>
        <v>1953.06</v>
      </c>
      <c r="L11" s="165"/>
    </row>
    <row r="12" spans="2:14" ht="30" customHeight="1">
      <c r="B12" s="165">
        <f t="shared" si="1"/>
        <v>4</v>
      </c>
      <c r="C12" s="165" t="s">
        <v>280</v>
      </c>
      <c r="D12" s="165" t="s">
        <v>452</v>
      </c>
      <c r="E12" s="165" t="s">
        <v>453</v>
      </c>
      <c r="F12" s="165" t="s">
        <v>454</v>
      </c>
      <c r="G12" s="165">
        <f t="shared" ref="G12:G40" si="2">G11</f>
        <v>0</v>
      </c>
      <c r="H12" s="356">
        <f>3790/2</f>
        <v>1895</v>
      </c>
      <c r="I12" s="281">
        <v>1971</v>
      </c>
      <c r="J12" s="281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630</v>
      </c>
      <c r="D13" s="165" t="s">
        <v>455</v>
      </c>
      <c r="E13" s="165" t="s">
        <v>456</v>
      </c>
      <c r="F13" s="165" t="s">
        <v>457</v>
      </c>
      <c r="G13" s="165">
        <f>G62</f>
        <v>0</v>
      </c>
      <c r="H13" s="356">
        <f>5242/2</f>
        <v>2621</v>
      </c>
      <c r="I13" s="281">
        <v>2726</v>
      </c>
      <c r="J13" s="281"/>
      <c r="K13" s="238">
        <f t="shared" si="0"/>
        <v>2726</v>
      </c>
      <c r="L13" s="165"/>
      <c r="M13" t="s">
        <v>631</v>
      </c>
      <c r="N13" t="s">
        <v>650</v>
      </c>
    </row>
    <row r="14" spans="2:14" ht="30" customHeight="1">
      <c r="B14" s="165">
        <f t="shared" si="1"/>
        <v>6</v>
      </c>
      <c r="C14" s="165" t="s">
        <v>458</v>
      </c>
      <c r="D14" s="165"/>
      <c r="E14" s="165" t="s">
        <v>459</v>
      </c>
      <c r="F14" s="165" t="s">
        <v>454</v>
      </c>
      <c r="G14" s="165">
        <f t="shared" si="2"/>
        <v>0</v>
      </c>
      <c r="H14" s="356">
        <f>7720/2</f>
        <v>3860</v>
      </c>
      <c r="I14" s="281">
        <v>4014</v>
      </c>
      <c r="J14" s="281"/>
      <c r="K14" s="238">
        <f>I14-J14</f>
        <v>4014</v>
      </c>
      <c r="L14" s="165"/>
    </row>
    <row r="15" spans="2:14" ht="30" customHeight="1">
      <c r="B15" s="165">
        <f t="shared" si="1"/>
        <v>7</v>
      </c>
      <c r="C15" s="165" t="s">
        <v>281</v>
      </c>
      <c r="D15" s="165" t="s">
        <v>460</v>
      </c>
      <c r="E15" s="165" t="s">
        <v>461</v>
      </c>
      <c r="F15" s="165" t="s">
        <v>454</v>
      </c>
      <c r="G15" s="165">
        <f t="shared" si="2"/>
        <v>0</v>
      </c>
      <c r="H15" s="356">
        <v>3543</v>
      </c>
      <c r="I15" s="281">
        <v>3685</v>
      </c>
      <c r="J15" s="281"/>
      <c r="K15" s="238">
        <f>I15-J15</f>
        <v>3685</v>
      </c>
      <c r="L15" s="165"/>
    </row>
    <row r="16" spans="2:14" ht="30" customHeight="1">
      <c r="B16" s="625">
        <f t="shared" si="1"/>
        <v>8</v>
      </c>
      <c r="C16" s="625" t="s">
        <v>282</v>
      </c>
      <c r="D16" s="625" t="s">
        <v>462</v>
      </c>
      <c r="E16" s="625" t="s">
        <v>463</v>
      </c>
      <c r="F16" s="625" t="s">
        <v>464</v>
      </c>
      <c r="G16" s="625">
        <f t="shared" si="2"/>
        <v>0</v>
      </c>
      <c r="H16" s="626">
        <f>6608/2</f>
        <v>3304</v>
      </c>
      <c r="I16" s="627">
        <v>3206.93</v>
      </c>
      <c r="J16" s="627"/>
      <c r="K16" s="628">
        <f t="shared" si="0"/>
        <v>3206.93</v>
      </c>
      <c r="L16" s="625"/>
      <c r="M16" s="602" t="s">
        <v>795</v>
      </c>
    </row>
    <row r="17" spans="2:14" ht="30" customHeight="1">
      <c r="B17" s="165">
        <f t="shared" si="1"/>
        <v>9</v>
      </c>
      <c r="C17" s="165" t="s">
        <v>712</v>
      </c>
      <c r="D17" s="165" t="s">
        <v>465</v>
      </c>
      <c r="E17" s="165" t="s">
        <v>466</v>
      </c>
      <c r="F17" s="165" t="s">
        <v>454</v>
      </c>
      <c r="G17" s="165">
        <f t="shared" si="2"/>
        <v>0</v>
      </c>
      <c r="H17" s="355">
        <f>3510/2</f>
        <v>1755</v>
      </c>
      <c r="I17" s="281">
        <v>1664</v>
      </c>
      <c r="J17" s="281"/>
      <c r="K17" s="238">
        <f t="shared" si="0"/>
        <v>1664</v>
      </c>
      <c r="L17" s="165"/>
      <c r="M17" t="s">
        <v>713</v>
      </c>
    </row>
    <row r="18" spans="2:14" ht="30" customHeight="1">
      <c r="B18" s="165">
        <f t="shared" si="1"/>
        <v>10</v>
      </c>
      <c r="C18" s="165" t="s">
        <v>283</v>
      </c>
      <c r="D18" s="165"/>
      <c r="E18" s="165" t="s">
        <v>467</v>
      </c>
      <c r="F18" s="165"/>
      <c r="G18" s="165">
        <f>G64</f>
        <v>0</v>
      </c>
      <c r="H18" s="355">
        <f>6240/2</f>
        <v>3120</v>
      </c>
      <c r="I18" s="281">
        <v>3245</v>
      </c>
      <c r="J18" s="281"/>
      <c r="K18" s="238">
        <f t="shared" si="0"/>
        <v>3245</v>
      </c>
      <c r="L18" s="165"/>
      <c r="M18" s="421"/>
    </row>
    <row r="19" spans="2:14" ht="30" customHeight="1">
      <c r="B19" s="165">
        <f t="shared" si="1"/>
        <v>11</v>
      </c>
      <c r="C19" s="165" t="s">
        <v>284</v>
      </c>
      <c r="D19" s="165" t="s">
        <v>468</v>
      </c>
      <c r="E19" s="165" t="s">
        <v>469</v>
      </c>
      <c r="F19" s="578" t="s">
        <v>641</v>
      </c>
      <c r="G19" s="165">
        <f t="shared" si="2"/>
        <v>0</v>
      </c>
      <c r="H19" s="356">
        <f>6128/2</f>
        <v>3064</v>
      </c>
      <c r="I19" s="281">
        <v>3187</v>
      </c>
      <c r="J19" s="281"/>
      <c r="K19" s="238">
        <f t="shared" si="0"/>
        <v>3187</v>
      </c>
      <c r="L19" s="165"/>
      <c r="M19" s="421"/>
      <c r="N19">
        <v>3187</v>
      </c>
    </row>
    <row r="20" spans="2:14" ht="30" customHeight="1">
      <c r="B20" s="165">
        <f t="shared" si="1"/>
        <v>12</v>
      </c>
      <c r="C20" s="165" t="s">
        <v>285</v>
      </c>
      <c r="D20" s="165"/>
      <c r="E20" s="165" t="s">
        <v>470</v>
      </c>
      <c r="F20" s="165" t="s">
        <v>454</v>
      </c>
      <c r="G20" s="165">
        <f t="shared" si="2"/>
        <v>0</v>
      </c>
      <c r="H20" s="355">
        <f>7330/2</f>
        <v>3665</v>
      </c>
      <c r="I20" s="281">
        <v>3812</v>
      </c>
      <c r="J20" s="281"/>
      <c r="K20" s="238">
        <f t="shared" si="0"/>
        <v>3812</v>
      </c>
      <c r="L20" s="165"/>
    </row>
    <row r="21" spans="2:14" ht="30" customHeight="1">
      <c r="B21" s="165">
        <f t="shared" si="1"/>
        <v>13</v>
      </c>
      <c r="C21" s="165" t="s">
        <v>286</v>
      </c>
      <c r="D21" s="165" t="s">
        <v>471</v>
      </c>
      <c r="E21" s="165" t="s">
        <v>448</v>
      </c>
      <c r="F21" s="165"/>
      <c r="G21" s="165">
        <f t="shared" si="2"/>
        <v>0</v>
      </c>
      <c r="H21" s="355">
        <f>6240/2</f>
        <v>3120</v>
      </c>
      <c r="I21" s="281">
        <v>3245</v>
      </c>
      <c r="J21" s="279"/>
      <c r="K21" s="238">
        <f t="shared" si="0"/>
        <v>3245</v>
      </c>
      <c r="L21" s="165"/>
    </row>
    <row r="22" spans="2:14" ht="30" customHeight="1">
      <c r="B22" s="165">
        <f t="shared" si="1"/>
        <v>14</v>
      </c>
      <c r="C22" s="165" t="s">
        <v>287</v>
      </c>
      <c r="D22" s="165" t="s">
        <v>472</v>
      </c>
      <c r="E22" s="165" t="s">
        <v>473</v>
      </c>
      <c r="F22" s="165" t="s">
        <v>474</v>
      </c>
      <c r="G22" s="165" t="e">
        <f>#REF!</f>
        <v>#REF!</v>
      </c>
      <c r="H22" s="355">
        <f>4210/2</f>
        <v>2105</v>
      </c>
      <c r="I22" s="281">
        <v>2189</v>
      </c>
      <c r="J22" s="279"/>
      <c r="K22" s="238">
        <f t="shared" si="0"/>
        <v>2189</v>
      </c>
      <c r="L22" s="165"/>
    </row>
    <row r="23" spans="2:14" ht="30" customHeight="1">
      <c r="B23" s="165">
        <f t="shared" si="1"/>
        <v>15</v>
      </c>
      <c r="C23" s="165" t="s">
        <v>288</v>
      </c>
      <c r="D23" s="165" t="s">
        <v>475</v>
      </c>
      <c r="E23" s="165" t="s">
        <v>476</v>
      </c>
      <c r="F23" s="165" t="s">
        <v>454</v>
      </c>
      <c r="G23" s="165" t="e">
        <f>#REF!</f>
        <v>#REF!</v>
      </c>
      <c r="H23" s="355">
        <f>4992/2</f>
        <v>2496</v>
      </c>
      <c r="I23" s="281">
        <v>3214</v>
      </c>
      <c r="J23" s="281"/>
      <c r="K23" s="238">
        <f t="shared" si="0"/>
        <v>3214</v>
      </c>
      <c r="L23" s="165"/>
      <c r="M23" s="441"/>
    </row>
    <row r="24" spans="2:14" ht="30" customHeight="1">
      <c r="B24" s="165">
        <f t="shared" si="1"/>
        <v>16</v>
      </c>
      <c r="C24" s="165" t="s">
        <v>595</v>
      </c>
      <c r="D24" s="165" t="s">
        <v>477</v>
      </c>
      <c r="E24" s="165" t="s">
        <v>478</v>
      </c>
      <c r="F24" s="165" t="s">
        <v>454</v>
      </c>
      <c r="G24" s="165" t="e">
        <f t="shared" si="2"/>
        <v>#REF!</v>
      </c>
      <c r="H24" s="355">
        <f>5848/2</f>
        <v>2924</v>
      </c>
      <c r="I24" s="281">
        <v>3811</v>
      </c>
      <c r="J24" s="279"/>
      <c r="K24" s="238">
        <f t="shared" si="0"/>
        <v>3811</v>
      </c>
      <c r="L24" s="165"/>
    </row>
    <row r="25" spans="2:14" ht="30" customHeight="1">
      <c r="B25" s="165">
        <f t="shared" si="1"/>
        <v>17</v>
      </c>
      <c r="C25" s="165" t="s">
        <v>479</v>
      </c>
      <c r="D25" s="165" t="s">
        <v>480</v>
      </c>
      <c r="E25" s="165" t="s">
        <v>481</v>
      </c>
      <c r="F25" s="165" t="s">
        <v>454</v>
      </c>
      <c r="G25" s="165" t="e">
        <f t="shared" si="2"/>
        <v>#REF!</v>
      </c>
      <c r="H25" s="355">
        <f>7060/2</f>
        <v>3530</v>
      </c>
      <c r="I25" s="281">
        <v>3671</v>
      </c>
      <c r="J25" s="279"/>
      <c r="K25" s="238">
        <f t="shared" si="0"/>
        <v>3671</v>
      </c>
      <c r="L25" s="165"/>
    </row>
    <row r="26" spans="2:14" ht="30" customHeight="1">
      <c r="B26" s="165">
        <f t="shared" si="1"/>
        <v>18</v>
      </c>
      <c r="C26" s="165" t="s">
        <v>289</v>
      </c>
      <c r="D26" s="165"/>
      <c r="E26" s="165" t="s">
        <v>482</v>
      </c>
      <c r="F26" s="165" t="s">
        <v>454</v>
      </c>
      <c r="G26" s="165" t="e">
        <f t="shared" si="2"/>
        <v>#REF!</v>
      </c>
      <c r="H26" s="355">
        <f>7414/2</f>
        <v>3707</v>
      </c>
      <c r="I26" s="281">
        <v>3855</v>
      </c>
      <c r="J26" s="279"/>
      <c r="K26" s="238">
        <f t="shared" si="0"/>
        <v>3855</v>
      </c>
      <c r="L26" s="165"/>
    </row>
    <row r="27" spans="2:14" ht="30" customHeight="1">
      <c r="B27" s="165">
        <f t="shared" si="1"/>
        <v>19</v>
      </c>
      <c r="C27" s="165" t="s">
        <v>291</v>
      </c>
      <c r="D27" s="165" t="s">
        <v>483</v>
      </c>
      <c r="E27" s="165" t="s">
        <v>484</v>
      </c>
      <c r="F27" s="165"/>
      <c r="G27" s="165" t="e">
        <f t="shared" si="2"/>
        <v>#REF!</v>
      </c>
      <c r="H27" s="355">
        <f>3510/2</f>
        <v>1755</v>
      </c>
      <c r="I27" s="281">
        <v>1825</v>
      </c>
      <c r="J27" s="279"/>
      <c r="K27" s="238">
        <f t="shared" si="0"/>
        <v>1825</v>
      </c>
      <c r="L27" s="165"/>
    </row>
    <row r="28" spans="2:14" ht="30" customHeight="1">
      <c r="B28" s="165">
        <f t="shared" si="1"/>
        <v>20</v>
      </c>
      <c r="C28" s="165" t="s">
        <v>292</v>
      </c>
      <c r="D28" s="165" t="s">
        <v>485</v>
      </c>
      <c r="E28" s="165" t="s">
        <v>486</v>
      </c>
      <c r="F28" s="165" t="s">
        <v>454</v>
      </c>
      <c r="G28" s="165" t="e">
        <f t="shared" si="2"/>
        <v>#REF!</v>
      </c>
      <c r="H28" s="356">
        <f>6438/2</f>
        <v>3219</v>
      </c>
      <c r="I28" s="281">
        <v>3348</v>
      </c>
      <c r="J28" s="281"/>
      <c r="K28" s="238">
        <f t="shared" si="0"/>
        <v>3348</v>
      </c>
      <c r="L28" s="165"/>
    </row>
    <row r="29" spans="2:14" ht="30" customHeight="1">
      <c r="B29" s="165">
        <f t="shared" si="1"/>
        <v>21</v>
      </c>
      <c r="C29" s="165" t="s">
        <v>590</v>
      </c>
      <c r="D29" s="165"/>
      <c r="E29" s="165" t="s">
        <v>591</v>
      </c>
      <c r="F29" s="165"/>
      <c r="G29" s="165" t="e">
        <f t="shared" si="2"/>
        <v>#REF!</v>
      </c>
      <c r="H29" s="356">
        <f>7488/2</f>
        <v>3744</v>
      </c>
      <c r="I29" s="281">
        <v>3894</v>
      </c>
      <c r="J29" s="281"/>
      <c r="K29" s="238">
        <f t="shared" si="0"/>
        <v>3894</v>
      </c>
      <c r="L29" s="165"/>
      <c r="M29" t="s">
        <v>594</v>
      </c>
      <c r="N29" t="s">
        <v>673</v>
      </c>
    </row>
    <row r="30" spans="2:14" ht="30" customHeight="1">
      <c r="B30" s="165">
        <f t="shared" si="1"/>
        <v>22</v>
      </c>
      <c r="C30" s="165" t="s">
        <v>487</v>
      </c>
      <c r="D30" s="165" t="s">
        <v>488</v>
      </c>
      <c r="E30" s="165" t="s">
        <v>448</v>
      </c>
      <c r="F30" s="165"/>
      <c r="G30" s="165" t="e">
        <f>#REF!</f>
        <v>#REF!</v>
      </c>
      <c r="H30" s="355">
        <f>6240/2</f>
        <v>3120</v>
      </c>
      <c r="I30" s="281">
        <v>3245</v>
      </c>
      <c r="J30" s="279"/>
      <c r="K30" s="238">
        <f t="shared" si="0"/>
        <v>3245</v>
      </c>
      <c r="L30" s="165"/>
    </row>
    <row r="31" spans="2:14" ht="30" customHeight="1">
      <c r="B31" s="165">
        <f t="shared" si="1"/>
        <v>23</v>
      </c>
      <c r="C31" s="165" t="s">
        <v>553</v>
      </c>
      <c r="D31" s="165"/>
      <c r="E31" s="165" t="s">
        <v>554</v>
      </c>
      <c r="F31" s="165"/>
      <c r="G31" s="165"/>
      <c r="H31" s="356">
        <f>7072/2</f>
        <v>3536</v>
      </c>
      <c r="I31" s="281">
        <v>3677</v>
      </c>
      <c r="J31" s="281"/>
      <c r="K31" s="238">
        <f t="shared" si="0"/>
        <v>3677</v>
      </c>
      <c r="L31" s="165"/>
      <c r="M31" s="274" t="s">
        <v>562</v>
      </c>
      <c r="N31" t="s">
        <v>655</v>
      </c>
    </row>
    <row r="32" spans="2:14" ht="30" customHeight="1">
      <c r="B32" s="165">
        <f t="shared" si="1"/>
        <v>24</v>
      </c>
      <c r="C32" s="165" t="s">
        <v>489</v>
      </c>
      <c r="D32" s="165" t="s">
        <v>490</v>
      </c>
      <c r="E32" s="165" t="s">
        <v>491</v>
      </c>
      <c r="F32" s="165" t="s">
        <v>492</v>
      </c>
      <c r="G32" s="165" t="e">
        <f>G30</f>
        <v>#REF!</v>
      </c>
      <c r="H32" s="355">
        <f>3536/2</f>
        <v>1768</v>
      </c>
      <c r="I32" s="281">
        <v>1839</v>
      </c>
      <c r="J32" s="279"/>
      <c r="K32" s="238">
        <f t="shared" si="0"/>
        <v>1839</v>
      </c>
      <c r="L32" s="165"/>
    </row>
    <row r="33" spans="2:14" ht="30" customHeight="1">
      <c r="B33" s="165">
        <f t="shared" si="1"/>
        <v>25</v>
      </c>
      <c r="C33" s="165" t="s">
        <v>293</v>
      </c>
      <c r="D33" s="165"/>
      <c r="E33" s="165" t="s">
        <v>467</v>
      </c>
      <c r="F33" s="165"/>
      <c r="G33" s="165" t="e">
        <f>G65</f>
        <v>#REF!</v>
      </c>
      <c r="H33" s="355">
        <f>6864/2</f>
        <v>3432</v>
      </c>
      <c r="I33" s="281">
        <v>3569</v>
      </c>
      <c r="J33" s="281"/>
      <c r="K33" s="238">
        <f t="shared" si="0"/>
        <v>3569</v>
      </c>
      <c r="L33" s="165"/>
    </row>
    <row r="34" spans="2:14" ht="30" customHeight="1">
      <c r="B34" s="165">
        <f t="shared" si="1"/>
        <v>26</v>
      </c>
      <c r="C34" s="165" t="s">
        <v>295</v>
      </c>
      <c r="D34" s="165"/>
      <c r="E34" s="165" t="s">
        <v>448</v>
      </c>
      <c r="F34" s="165"/>
      <c r="G34" s="165" t="e">
        <f>#REF!</f>
        <v>#REF!</v>
      </c>
      <c r="H34" s="356">
        <f>6240/2</f>
        <v>3120</v>
      </c>
      <c r="I34" s="281">
        <v>3569</v>
      </c>
      <c r="J34" s="281"/>
      <c r="K34" s="238">
        <f t="shared" si="0"/>
        <v>3569</v>
      </c>
      <c r="L34" s="165"/>
      <c r="M34" t="s">
        <v>738</v>
      </c>
    </row>
    <row r="35" spans="2:14" ht="30" customHeight="1">
      <c r="B35" s="165">
        <f t="shared" si="1"/>
        <v>27</v>
      </c>
      <c r="C35" s="165" t="s">
        <v>294</v>
      </c>
      <c r="D35" s="165" t="s">
        <v>493</v>
      </c>
      <c r="E35" s="266" t="s">
        <v>494</v>
      </c>
      <c r="F35" s="165" t="s">
        <v>464</v>
      </c>
      <c r="G35" s="165" t="e">
        <f t="shared" si="2"/>
        <v>#REF!</v>
      </c>
      <c r="H35" s="355">
        <f>5824/2</f>
        <v>2912</v>
      </c>
      <c r="I35" s="281">
        <v>3432</v>
      </c>
      <c r="J35" s="279"/>
      <c r="K35" s="238">
        <f t="shared" si="0"/>
        <v>3432</v>
      </c>
      <c r="L35" s="165"/>
    </row>
    <row r="36" spans="2:14" ht="30" customHeight="1">
      <c r="B36" s="165">
        <f t="shared" si="1"/>
        <v>28</v>
      </c>
      <c r="C36" s="165" t="s">
        <v>495</v>
      </c>
      <c r="D36" s="165" t="s">
        <v>496</v>
      </c>
      <c r="E36" s="165" t="s">
        <v>494</v>
      </c>
      <c r="F36" s="165" t="s">
        <v>474</v>
      </c>
      <c r="G36" s="165" t="e">
        <f t="shared" si="2"/>
        <v>#REF!</v>
      </c>
      <c r="H36" s="355">
        <f>4784/2</f>
        <v>2392</v>
      </c>
      <c r="I36" s="281">
        <v>2488</v>
      </c>
      <c r="J36" s="279"/>
      <c r="K36" s="238">
        <f t="shared" si="0"/>
        <v>2488</v>
      </c>
      <c r="L36" s="165"/>
    </row>
    <row r="37" spans="2:14" ht="30" customHeight="1">
      <c r="B37" s="165">
        <f t="shared" si="1"/>
        <v>29</v>
      </c>
      <c r="C37" s="266" t="s">
        <v>497</v>
      </c>
      <c r="D37" s="266"/>
      <c r="E37" s="266" t="s">
        <v>498</v>
      </c>
      <c r="F37" s="266" t="s">
        <v>451</v>
      </c>
      <c r="G37" s="266" t="e">
        <f t="shared" si="2"/>
        <v>#REF!</v>
      </c>
      <c r="H37" s="414">
        <f>6256/2</f>
        <v>3128</v>
      </c>
      <c r="I37" s="281">
        <v>3253</v>
      </c>
      <c r="J37" s="415"/>
      <c r="K37" s="416">
        <f t="shared" si="0"/>
        <v>3253</v>
      </c>
      <c r="L37" s="266"/>
    </row>
    <row r="38" spans="2:14" ht="30" customHeight="1">
      <c r="B38" s="165">
        <f t="shared" si="1"/>
        <v>30</v>
      </c>
      <c r="C38" s="266" t="s">
        <v>687</v>
      </c>
      <c r="D38" s="266"/>
      <c r="E38" s="266" t="s">
        <v>491</v>
      </c>
      <c r="F38" s="266" t="s">
        <v>499</v>
      </c>
      <c r="G38" s="266" t="e">
        <f t="shared" si="2"/>
        <v>#REF!</v>
      </c>
      <c r="H38" s="414">
        <f>3068/2</f>
        <v>1534</v>
      </c>
      <c r="I38" s="281">
        <v>1596</v>
      </c>
      <c r="J38" s="415"/>
      <c r="K38" s="416">
        <f t="shared" si="0"/>
        <v>1596</v>
      </c>
      <c r="L38" s="266"/>
      <c r="M38" t="s">
        <v>688</v>
      </c>
    </row>
    <row r="39" spans="2:14" ht="30" customHeight="1">
      <c r="B39" s="165">
        <f t="shared" si="1"/>
        <v>31</v>
      </c>
      <c r="C39" s="165" t="s">
        <v>525</v>
      </c>
      <c r="D39" s="165"/>
      <c r="E39" s="165" t="s">
        <v>526</v>
      </c>
      <c r="F39" s="165" t="s">
        <v>454</v>
      </c>
      <c r="G39" s="165"/>
      <c r="H39" s="355">
        <f>6240/2</f>
        <v>3120</v>
      </c>
      <c r="I39" s="281">
        <v>3245</v>
      </c>
      <c r="J39" s="279"/>
      <c r="K39" s="238">
        <f t="shared" si="0"/>
        <v>3245</v>
      </c>
      <c r="L39" s="165"/>
    </row>
    <row r="40" spans="2:14" ht="30" customHeight="1">
      <c r="B40" s="165">
        <f t="shared" si="1"/>
        <v>32</v>
      </c>
      <c r="C40" s="165" t="s">
        <v>434</v>
      </c>
      <c r="D40" s="165"/>
      <c r="E40" s="266" t="s">
        <v>500</v>
      </c>
      <c r="F40" s="165" t="s">
        <v>501</v>
      </c>
      <c r="G40" s="165">
        <f t="shared" si="2"/>
        <v>0</v>
      </c>
      <c r="H40" s="355">
        <f>3858/2</f>
        <v>1929</v>
      </c>
      <c r="I40" s="281">
        <v>2006</v>
      </c>
      <c r="J40" s="279"/>
      <c r="K40" s="238">
        <f t="shared" si="0"/>
        <v>2006</v>
      </c>
      <c r="L40" s="165"/>
    </row>
    <row r="41" spans="2:14" ht="30" customHeight="1">
      <c r="B41" s="165">
        <f t="shared" si="1"/>
        <v>33</v>
      </c>
      <c r="C41" s="165" t="s">
        <v>620</v>
      </c>
      <c r="D41" s="165"/>
      <c r="E41" s="165" t="s">
        <v>565</v>
      </c>
      <c r="F41" s="165" t="s">
        <v>564</v>
      </c>
      <c r="G41" s="165"/>
      <c r="H41" s="356"/>
      <c r="I41" s="281">
        <v>3432</v>
      </c>
      <c r="J41" s="281"/>
      <c r="K41" s="238">
        <f t="shared" si="0"/>
        <v>3432</v>
      </c>
      <c r="L41" s="165"/>
      <c r="M41" t="s">
        <v>621</v>
      </c>
      <c r="N41" t="s">
        <v>650</v>
      </c>
    </row>
    <row r="42" spans="2:14" ht="30" customHeight="1">
      <c r="B42" s="165">
        <f t="shared" si="1"/>
        <v>34</v>
      </c>
      <c r="C42" s="165" t="s">
        <v>603</v>
      </c>
      <c r="D42" s="165"/>
      <c r="E42" s="165" t="s">
        <v>604</v>
      </c>
      <c r="F42" s="165"/>
      <c r="G42" s="165"/>
      <c r="H42" s="356"/>
      <c r="I42" s="281">
        <v>6653</v>
      </c>
      <c r="J42" s="281"/>
      <c r="K42" s="238">
        <f t="shared" si="0"/>
        <v>6653</v>
      </c>
      <c r="L42" s="165"/>
      <c r="M42" t="s">
        <v>605</v>
      </c>
      <c r="N42" t="s">
        <v>651</v>
      </c>
    </row>
    <row r="43" spans="2:14" ht="30" customHeight="1">
      <c r="B43" s="165">
        <f t="shared" si="1"/>
        <v>35</v>
      </c>
      <c r="C43" s="165" t="s">
        <v>576</v>
      </c>
      <c r="D43" s="165"/>
      <c r="E43" s="165" t="s">
        <v>577</v>
      </c>
      <c r="F43" s="165"/>
      <c r="G43" s="165"/>
      <c r="H43" s="355">
        <f>7904/2</f>
        <v>3952</v>
      </c>
      <c r="I43" s="281">
        <v>4110</v>
      </c>
      <c r="J43" s="281"/>
      <c r="K43" s="238">
        <f t="shared" si="0"/>
        <v>4110</v>
      </c>
      <c r="L43" s="165"/>
      <c r="M43" t="s">
        <v>672</v>
      </c>
    </row>
    <row r="44" spans="2:14" ht="30" customHeight="1">
      <c r="B44" s="165">
        <f t="shared" si="1"/>
        <v>36</v>
      </c>
      <c r="C44" s="165" t="s">
        <v>613</v>
      </c>
      <c r="D44" s="165"/>
      <c r="E44" s="165" t="s">
        <v>612</v>
      </c>
      <c r="F44" s="165"/>
      <c r="G44" s="165"/>
      <c r="H44" s="356">
        <f>7488/2</f>
        <v>3744</v>
      </c>
      <c r="I44" s="281">
        <v>3894</v>
      </c>
      <c r="J44" s="281"/>
      <c r="K44" s="238">
        <f t="shared" ref="K44:K56" si="3">I44-J44</f>
        <v>3894</v>
      </c>
      <c r="L44" s="165"/>
      <c r="N44" t="s">
        <v>652</v>
      </c>
    </row>
    <row r="45" spans="2:14" ht="30" customHeight="1">
      <c r="B45" s="165">
        <f t="shared" si="1"/>
        <v>37</v>
      </c>
      <c r="C45" s="165" t="s">
        <v>608</v>
      </c>
      <c r="D45" s="165"/>
      <c r="E45" s="165" t="s">
        <v>246</v>
      </c>
      <c r="F45" s="165" t="s">
        <v>614</v>
      </c>
      <c r="G45" s="165"/>
      <c r="H45" s="356">
        <f>6138/2</f>
        <v>3069</v>
      </c>
      <c r="I45" s="281">
        <v>3192</v>
      </c>
      <c r="J45" s="281"/>
      <c r="K45" s="238">
        <f t="shared" si="3"/>
        <v>3192</v>
      </c>
      <c r="L45" s="165"/>
      <c r="M45" t="s">
        <v>615</v>
      </c>
      <c r="N45" t="s">
        <v>653</v>
      </c>
    </row>
    <row r="46" spans="2:14" ht="30" customHeight="1">
      <c r="B46" s="165">
        <f t="shared" si="1"/>
        <v>38</v>
      </c>
      <c r="C46" s="165" t="s">
        <v>609</v>
      </c>
      <c r="D46" s="165"/>
      <c r="E46" s="165" t="s">
        <v>610</v>
      </c>
      <c r="F46" s="165"/>
      <c r="G46" s="165"/>
      <c r="H46" s="356">
        <f>5880/2</f>
        <v>2940</v>
      </c>
      <c r="I46" s="281">
        <v>4000</v>
      </c>
      <c r="J46" s="281"/>
      <c r="K46" s="238">
        <f t="shared" si="3"/>
        <v>4000</v>
      </c>
      <c r="L46" s="165"/>
      <c r="M46" t="s">
        <v>611</v>
      </c>
      <c r="N46" t="s">
        <v>654</v>
      </c>
    </row>
    <row r="47" spans="2:14" ht="30" customHeight="1">
      <c r="B47" s="165">
        <f t="shared" si="1"/>
        <v>39</v>
      </c>
      <c r="C47" s="165" t="s">
        <v>634</v>
      </c>
      <c r="D47" s="165"/>
      <c r="E47" s="165" t="s">
        <v>604</v>
      </c>
      <c r="F47" s="165"/>
      <c r="G47" s="165"/>
      <c r="H47" s="356"/>
      <c r="I47" s="281">
        <v>6625</v>
      </c>
      <c r="J47" s="281"/>
      <c r="K47" s="238">
        <f t="shared" si="3"/>
        <v>6625</v>
      </c>
      <c r="L47" s="165"/>
      <c r="M47" t="s">
        <v>676</v>
      </c>
    </row>
    <row r="48" spans="2:14" ht="30" customHeight="1">
      <c r="B48" s="165">
        <f t="shared" si="1"/>
        <v>40</v>
      </c>
      <c r="C48" s="165" t="s">
        <v>646</v>
      </c>
      <c r="D48" s="165"/>
      <c r="E48" s="165" t="s">
        <v>239</v>
      </c>
      <c r="F48" s="165"/>
      <c r="G48" s="165"/>
      <c r="H48" s="356"/>
      <c r="I48" s="281">
        <v>3744</v>
      </c>
      <c r="J48" s="281"/>
      <c r="K48" s="238">
        <f t="shared" si="3"/>
        <v>3744</v>
      </c>
      <c r="L48" s="165"/>
      <c r="M48" s="289" t="s">
        <v>675</v>
      </c>
    </row>
    <row r="49" spans="2:14" ht="30" customHeight="1">
      <c r="B49" s="165">
        <f t="shared" si="1"/>
        <v>41</v>
      </c>
      <c r="C49" s="165" t="s">
        <v>659</v>
      </c>
      <c r="D49" s="165"/>
      <c r="E49" s="165" t="s">
        <v>661</v>
      </c>
      <c r="F49" s="165"/>
      <c r="G49" s="165"/>
      <c r="H49" s="356"/>
      <c r="I49" s="281">
        <v>7800</v>
      </c>
      <c r="J49" s="281"/>
      <c r="K49" s="238">
        <f t="shared" si="3"/>
        <v>7800</v>
      </c>
      <c r="L49" s="165"/>
      <c r="M49" t="s">
        <v>664</v>
      </c>
    </row>
    <row r="50" spans="2:14" ht="30" customHeight="1">
      <c r="B50" s="165">
        <f t="shared" si="1"/>
        <v>42</v>
      </c>
      <c r="C50" s="165" t="s">
        <v>660</v>
      </c>
      <c r="D50" s="165"/>
      <c r="E50" s="165" t="s">
        <v>662</v>
      </c>
      <c r="F50" s="165"/>
      <c r="G50" s="165"/>
      <c r="H50" s="356"/>
      <c r="I50" s="281">
        <v>7800</v>
      </c>
      <c r="J50" s="281"/>
      <c r="K50" s="238">
        <f t="shared" si="3"/>
        <v>7800</v>
      </c>
      <c r="L50" s="165"/>
      <c r="M50" t="s">
        <v>635</v>
      </c>
    </row>
    <row r="51" spans="2:14" ht="30" customHeight="1">
      <c r="B51" s="165">
        <f t="shared" si="1"/>
        <v>43</v>
      </c>
      <c r="C51" s="165" t="s">
        <v>669</v>
      </c>
      <c r="D51" s="165"/>
      <c r="E51" s="165" t="s">
        <v>670</v>
      </c>
      <c r="F51" s="165"/>
      <c r="G51" s="165"/>
      <c r="H51" s="356"/>
      <c r="I51" s="281">
        <v>3536</v>
      </c>
      <c r="J51" s="281"/>
      <c r="K51" s="238">
        <f t="shared" si="3"/>
        <v>3536</v>
      </c>
      <c r="L51" s="165"/>
      <c r="M51" t="s">
        <v>674</v>
      </c>
    </row>
    <row r="52" spans="2:14" ht="30" customHeight="1">
      <c r="B52" s="165">
        <f t="shared" si="1"/>
        <v>44</v>
      </c>
      <c r="C52" s="165" t="s">
        <v>683</v>
      </c>
      <c r="D52" s="165"/>
      <c r="E52" s="165" t="s">
        <v>679</v>
      </c>
      <c r="F52" s="165"/>
      <c r="G52" s="165"/>
      <c r="H52" s="356"/>
      <c r="I52" s="281">
        <v>2080</v>
      </c>
      <c r="J52" s="281"/>
      <c r="K52" s="238">
        <f t="shared" si="3"/>
        <v>2080</v>
      </c>
      <c r="L52" s="165"/>
      <c r="M52" t="s">
        <v>680</v>
      </c>
      <c r="N52" t="s">
        <v>681</v>
      </c>
    </row>
    <row r="53" spans="2:14" ht="30" customHeight="1">
      <c r="B53" s="165">
        <f t="shared" si="1"/>
        <v>45</v>
      </c>
      <c r="C53" s="165" t="s">
        <v>686</v>
      </c>
      <c r="D53" s="165"/>
      <c r="E53" s="165" t="s">
        <v>690</v>
      </c>
      <c r="F53" s="165"/>
      <c r="G53" s="165"/>
      <c r="H53" s="356"/>
      <c r="I53" s="281">
        <v>2080</v>
      </c>
      <c r="J53" s="281"/>
      <c r="K53" s="238">
        <f t="shared" si="3"/>
        <v>2080</v>
      </c>
      <c r="L53" s="165"/>
      <c r="M53" t="s">
        <v>689</v>
      </c>
    </row>
    <row r="54" spans="2:14" ht="30" customHeight="1">
      <c r="B54" s="165">
        <f t="shared" si="1"/>
        <v>46</v>
      </c>
      <c r="C54" s="165" t="s">
        <v>715</v>
      </c>
      <c r="D54" s="165"/>
      <c r="E54" s="165" t="s">
        <v>714</v>
      </c>
      <c r="F54" s="165"/>
      <c r="G54" s="165"/>
      <c r="H54" s="356"/>
      <c r="I54" s="281">
        <v>3120</v>
      </c>
      <c r="J54" s="281"/>
      <c r="K54" s="238">
        <f t="shared" si="3"/>
        <v>3120</v>
      </c>
      <c r="L54" s="165"/>
    </row>
    <row r="55" spans="2:14" ht="30" customHeight="1">
      <c r="B55" s="165">
        <v>47</v>
      </c>
      <c r="C55" s="165" t="s">
        <v>740</v>
      </c>
      <c r="D55" s="165"/>
      <c r="E55" s="165" t="s">
        <v>612</v>
      </c>
      <c r="F55" s="165"/>
      <c r="G55" s="165"/>
      <c r="H55" s="356"/>
      <c r="I55" s="281">
        <v>3744</v>
      </c>
      <c r="J55" s="281"/>
      <c r="K55" s="238">
        <f t="shared" si="3"/>
        <v>3744</v>
      </c>
      <c r="L55" s="165"/>
      <c r="M55" t="s">
        <v>741</v>
      </c>
    </row>
    <row r="56" spans="2:14" ht="30" customHeight="1">
      <c r="B56" s="165">
        <v>48</v>
      </c>
      <c r="C56" s="165" t="s">
        <v>742</v>
      </c>
      <c r="D56" s="165"/>
      <c r="E56" s="165" t="s">
        <v>743</v>
      </c>
      <c r="F56" s="165"/>
      <c r="G56" s="165"/>
      <c r="H56" s="356"/>
      <c r="I56" s="281">
        <v>4160</v>
      </c>
      <c r="J56" s="281"/>
      <c r="K56" s="238">
        <f t="shared" si="3"/>
        <v>4160</v>
      </c>
      <c r="L56" s="165"/>
      <c r="M56" t="s">
        <v>751</v>
      </c>
    </row>
    <row r="57" spans="2:14" ht="30" customHeight="1">
      <c r="B57" s="165">
        <v>49</v>
      </c>
      <c r="C57" s="165" t="s">
        <v>771</v>
      </c>
      <c r="D57" s="165"/>
      <c r="E57" s="165" t="s">
        <v>775</v>
      </c>
      <c r="F57" s="165"/>
      <c r="G57" s="165" t="e">
        <f>G29</f>
        <v>#REF!</v>
      </c>
      <c r="H57" s="356">
        <f>8320/2</f>
        <v>4160</v>
      </c>
      <c r="I57" s="281">
        <v>4326</v>
      </c>
      <c r="J57" s="281"/>
      <c r="K57" s="238">
        <f>I57-J57</f>
        <v>4326</v>
      </c>
      <c r="L57" s="165"/>
      <c r="M57" t="s">
        <v>772</v>
      </c>
    </row>
    <row r="58" spans="2:14" ht="30" customHeight="1">
      <c r="B58" s="165">
        <v>50</v>
      </c>
      <c r="C58" s="165" t="s">
        <v>773</v>
      </c>
      <c r="D58" s="165"/>
      <c r="E58" s="165" t="s">
        <v>774</v>
      </c>
      <c r="F58" s="165"/>
      <c r="G58" s="165"/>
      <c r="H58" s="356"/>
      <c r="I58" s="281">
        <v>4326</v>
      </c>
      <c r="J58" s="281"/>
      <c r="K58" s="238">
        <f>I58-J58</f>
        <v>4326</v>
      </c>
      <c r="L58" s="165"/>
      <c r="M58" t="s">
        <v>776</v>
      </c>
    </row>
    <row r="59" spans="2:14" ht="30" customHeight="1">
      <c r="B59" s="165">
        <v>51</v>
      </c>
      <c r="C59" s="165" t="s">
        <v>810</v>
      </c>
      <c r="D59" s="165"/>
      <c r="E59" s="165" t="s">
        <v>812</v>
      </c>
      <c r="F59" s="165"/>
      <c r="G59" s="165"/>
      <c r="H59" s="356"/>
      <c r="I59" s="281">
        <v>1760</v>
      </c>
      <c r="J59" s="281"/>
      <c r="K59" s="238">
        <f>I59-J59</f>
        <v>1760</v>
      </c>
      <c r="L59" s="165"/>
      <c r="M59" t="s">
        <v>811</v>
      </c>
    </row>
    <row r="60" spans="2:14" ht="30" customHeight="1">
      <c r="F60" s="632" t="s">
        <v>53</v>
      </c>
      <c r="G60" s="633" t="s">
        <v>53</v>
      </c>
      <c r="H60" s="634"/>
      <c r="I60" s="635">
        <f>SUM(I9:I59)</f>
        <v>175887.99</v>
      </c>
      <c r="J60" s="635">
        <f>SUM(J9:J54)</f>
        <v>0</v>
      </c>
      <c r="K60" s="636">
        <f>SUM(K9:K59)</f>
        <v>175887.99</v>
      </c>
    </row>
    <row r="61" spans="2:14" ht="17.25" customHeight="1">
      <c r="H61" s="357"/>
      <c r="I61" s="282"/>
      <c r="J61" s="282"/>
      <c r="K61" s="239"/>
    </row>
    <row r="62" spans="2:14" ht="30" customHeight="1">
      <c r="B62" s="165">
        <v>52</v>
      </c>
      <c r="C62" s="165" t="s">
        <v>502</v>
      </c>
      <c r="D62" s="165"/>
      <c r="E62" s="165" t="s">
        <v>503</v>
      </c>
      <c r="F62" s="165" t="s">
        <v>504</v>
      </c>
      <c r="G62" s="165">
        <f>G12</f>
        <v>0</v>
      </c>
      <c r="H62" s="355">
        <f>2206/2</f>
        <v>1103</v>
      </c>
      <c r="I62" s="281">
        <v>1147</v>
      </c>
      <c r="J62" s="279"/>
      <c r="K62" s="238">
        <f>I62-J62</f>
        <v>1147</v>
      </c>
      <c r="L62" s="165"/>
    </row>
    <row r="63" spans="2:14" ht="30" customHeight="1">
      <c r="B63" s="165">
        <v>53</v>
      </c>
      <c r="C63" s="165" t="s">
        <v>569</v>
      </c>
      <c r="D63" s="165" t="s">
        <v>505</v>
      </c>
      <c r="E63" s="165" t="s">
        <v>506</v>
      </c>
      <c r="F63" s="165" t="s">
        <v>454</v>
      </c>
      <c r="G63" s="165">
        <f>G17</f>
        <v>0</v>
      </c>
      <c r="H63" s="355">
        <f>2310/2</f>
        <v>1155</v>
      </c>
      <c r="I63" s="281">
        <v>1201</v>
      </c>
      <c r="J63" s="279"/>
      <c r="K63" s="238">
        <f t="shared" ref="K63:K66" si="4">I63-J63</f>
        <v>1201</v>
      </c>
      <c r="L63" s="165"/>
    </row>
    <row r="64" spans="2:14" ht="30" customHeight="1">
      <c r="B64" s="165">
        <v>54</v>
      </c>
      <c r="C64" s="165" t="s">
        <v>617</v>
      </c>
      <c r="D64" s="165" t="s">
        <v>507</v>
      </c>
      <c r="E64" s="165" t="s">
        <v>506</v>
      </c>
      <c r="F64" s="165" t="s">
        <v>454</v>
      </c>
      <c r="G64" s="165">
        <f>G63</f>
        <v>0</v>
      </c>
      <c r="H64" s="355">
        <f>2310/2</f>
        <v>1155</v>
      </c>
      <c r="I64" s="281">
        <v>1201</v>
      </c>
      <c r="J64" s="279"/>
      <c r="K64" s="238">
        <f t="shared" si="4"/>
        <v>1201</v>
      </c>
      <c r="L64" s="165"/>
      <c r="M64" t="s">
        <v>616</v>
      </c>
      <c r="N64" t="s">
        <v>656</v>
      </c>
    </row>
    <row r="65" spans="2:12" ht="30" customHeight="1">
      <c r="B65" s="165">
        <v>55</v>
      </c>
      <c r="C65" s="165" t="s">
        <v>508</v>
      </c>
      <c r="D65" s="165" t="s">
        <v>509</v>
      </c>
      <c r="E65" s="165" t="s">
        <v>510</v>
      </c>
      <c r="F65" s="165"/>
      <c r="G65" s="165" t="e">
        <f>#REF!</f>
        <v>#REF!</v>
      </c>
      <c r="H65" s="355">
        <f>2100/2</f>
        <v>1050</v>
      </c>
      <c r="I65" s="281">
        <v>1092</v>
      </c>
      <c r="J65" s="279"/>
      <c r="K65" s="238">
        <f t="shared" si="4"/>
        <v>1092</v>
      </c>
      <c r="L65" s="165"/>
    </row>
    <row r="66" spans="2:12" ht="30" customHeight="1">
      <c r="B66" s="165">
        <v>56</v>
      </c>
      <c r="C66" s="165" t="s">
        <v>435</v>
      </c>
      <c r="D66" s="165" t="s">
        <v>511</v>
      </c>
      <c r="E66" s="165" t="s">
        <v>512</v>
      </c>
      <c r="F66" s="165" t="s">
        <v>499</v>
      </c>
      <c r="G66" s="165" t="e">
        <f>#REF!</f>
        <v>#REF!</v>
      </c>
      <c r="H66" s="355">
        <f>2142/2</f>
        <v>1071</v>
      </c>
      <c r="I66" s="281">
        <v>1114</v>
      </c>
      <c r="J66" s="279"/>
      <c r="K66" s="238">
        <f t="shared" si="4"/>
        <v>1114</v>
      </c>
      <c r="L66" s="165"/>
    </row>
    <row r="67" spans="2:12" ht="30" customHeight="1">
      <c r="F67" s="595" t="s">
        <v>513</v>
      </c>
      <c r="G67" s="596" t="s">
        <v>53</v>
      </c>
      <c r="H67" s="597"/>
      <c r="I67" s="598">
        <f>SUM(I62:I66)</f>
        <v>5755</v>
      </c>
      <c r="J67" s="598">
        <f>SUM(J62:J66)</f>
        <v>0</v>
      </c>
      <c r="K67" s="599">
        <f>SUM(K62:K66)</f>
        <v>5755</v>
      </c>
    </row>
    <row r="68" spans="2:12" ht="13.5" customHeight="1" thickBot="1">
      <c r="B68" s="228"/>
      <c r="C68" s="228"/>
      <c r="D68" s="228"/>
      <c r="E68" s="228"/>
      <c r="F68" s="240"/>
      <c r="G68" s="240"/>
      <c r="H68" s="358"/>
      <c r="I68" s="283"/>
      <c r="J68" s="283"/>
      <c r="K68" s="241"/>
      <c r="L68" s="228"/>
    </row>
    <row r="69" spans="2:12" ht="25.5" customHeight="1" thickTop="1">
      <c r="F69" s="590" t="s">
        <v>53</v>
      </c>
      <c r="G69" s="591" t="s">
        <v>53</v>
      </c>
      <c r="H69" s="592"/>
      <c r="I69" s="593">
        <f>I60+I67</f>
        <v>181642.99</v>
      </c>
      <c r="J69" s="594">
        <f>SUM(J60+J67)</f>
        <v>0</v>
      </c>
      <c r="K69" s="516">
        <f>SUM(K60+K67)</f>
        <v>181642.99</v>
      </c>
    </row>
    <row r="70" spans="2:12">
      <c r="H70" s="357"/>
      <c r="I70" s="282"/>
      <c r="J70" s="282"/>
      <c r="K70" s="239"/>
    </row>
    <row r="71" spans="2:12">
      <c r="H71" s="357"/>
      <c r="I71" s="282"/>
      <c r="J71" s="282"/>
      <c r="K71" s="239"/>
    </row>
    <row r="72" spans="2:12">
      <c r="C72" s="207"/>
      <c r="H72" s="357"/>
      <c r="I72" s="282"/>
      <c r="J72" s="282"/>
      <c r="K72" s="239"/>
    </row>
    <row r="73" spans="2:12">
      <c r="H73" s="357"/>
      <c r="I73" s="282"/>
      <c r="J73" s="282"/>
      <c r="K73" s="239"/>
    </row>
    <row r="74" spans="2:12">
      <c r="H74" s="357"/>
      <c r="I74" s="282"/>
      <c r="J74" s="282"/>
      <c r="K74" s="239"/>
    </row>
    <row r="78" spans="2:12">
      <c r="K78" s="233">
        <f>I69-J69</f>
        <v>181642.99</v>
      </c>
    </row>
    <row r="79" spans="2:12">
      <c r="K79" s="233">
        <f>K69-K78</f>
        <v>0</v>
      </c>
    </row>
  </sheetData>
  <mergeCells count="3">
    <mergeCell ref="C2:L2"/>
    <mergeCell ref="C3:L3"/>
    <mergeCell ref="D5:J5"/>
  </mergeCells>
  <pageMargins left="0.25" right="0.25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2021-05-28T18:09:47Z</cp:lastPrinted>
  <dcterms:created xsi:type="dcterms:W3CDTF">2018-09-24T18:29:12Z</dcterms:created>
  <dcterms:modified xsi:type="dcterms:W3CDTF">2023-08-09T20:10:19Z</dcterms:modified>
</cp:coreProperties>
</file>