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1\Nominas del mes de Abril 2021\"/>
    </mc:Choice>
  </mc:AlternateContent>
  <xr:revisionPtr revIDLastSave="0" documentId="13_ncr:1_{31B8A79A-68D2-420C-B3FC-9B639A9D00C7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PENSION POR JUBILACION" sheetId="16" r:id="rId7"/>
    <sheet name="NOMINA PENSIONADOS" sheetId="11" r:id="rId8"/>
    <sheet name="NOMINA ORD. DE PAGO QUINCENAL" sheetId="14" state="hidden" r:id="rId9"/>
    <sheet name="PAGO TRAB.MENSUALES" sheetId="8" state="hidden" r:id="rId10"/>
    <sheet name="CASA DE CULTURA " sheetId="15" state="hidden" r:id="rId11"/>
    <sheet name="TOTAL DE PAGOS 2DAQUIN.OCTUBRE" sheetId="13" state="hidden" r:id="rId12"/>
  </sheets>
  <definedNames>
    <definedName name="_xlnm.Print_Area" localSheetId="1">BASE!$B$2:$N$192</definedName>
    <definedName name="_xlnm.Print_Area" localSheetId="10">'CASA DE CULTURA '!$B$1:$O$16</definedName>
    <definedName name="_xlnm.Print_Area" localSheetId="8">'NOMINA ORD. DE PAGO QUINCENAL'!$B$2:$L$75</definedName>
    <definedName name="_xlnm.Print_Area" localSheetId="7">'NOMINA PENSIONADOS'!$B$2:$L$20</definedName>
    <definedName name="_xlnm.Print_Area" localSheetId="4">'NOMINA TRAB.EVENTUALES'!$A$2:$S$40</definedName>
    <definedName name="_xlnm.Print_Area" localSheetId="9">'PAGO TRAB.MENSUALES'!$C$2:$K$33</definedName>
    <definedName name="_xlnm.Print_Area" localSheetId="3">'P-CIVIL'!$A$1:$Q$33</definedName>
    <definedName name="_xlnm.Print_Area" localSheetId="6">'PENSION POR JUBILACION'!$B$2:$K$21</definedName>
    <definedName name="_xlnm.Print_Area" localSheetId="0">REGIDORES!$B$2:$M$24</definedName>
    <definedName name="_xlnm.Print_Area" localSheetId="2">'SEGU-PBCA'!$B$2:$Q$48</definedName>
    <definedName name="_xlnm.Print_Area" localSheetId="11">'TOTAL DE PAGOS 2DAQUIN.OCTUBRE'!$A$2:$B$21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2" l="1"/>
  <c r="J157" i="2"/>
  <c r="I58" i="14" l="1"/>
  <c r="H11" i="15" l="1"/>
  <c r="J11" i="15"/>
  <c r="K11" i="15"/>
  <c r="J27" i="8" l="1"/>
  <c r="J19" i="8"/>
  <c r="O15" i="6"/>
  <c r="P15" i="6" s="1"/>
  <c r="O16" i="6"/>
  <c r="O17" i="6"/>
  <c r="J18" i="5" l="1"/>
  <c r="K9" i="2" l="1"/>
  <c r="F9" i="2"/>
  <c r="K167" i="2" l="1"/>
  <c r="F167" i="2"/>
  <c r="F18" i="5"/>
  <c r="J47" i="2" l="1"/>
  <c r="L43" i="2"/>
  <c r="E8" i="2" l="1"/>
  <c r="H8" i="2"/>
  <c r="L8" i="2"/>
  <c r="H33" i="2"/>
  <c r="M8" i="2" l="1"/>
  <c r="N28" i="4"/>
  <c r="O27" i="4"/>
  <c r="L27" i="4"/>
  <c r="P27" i="4" s="1"/>
  <c r="O26" i="4"/>
  <c r="L26" i="4"/>
  <c r="P26" i="4" l="1"/>
  <c r="K57" i="14" l="1"/>
  <c r="K56" i="14"/>
  <c r="L120" i="2" l="1"/>
  <c r="O13" i="4" l="1"/>
  <c r="O14" i="4"/>
  <c r="O15" i="4"/>
  <c r="O16" i="4"/>
  <c r="O17" i="4"/>
  <c r="O18" i="4"/>
  <c r="O19" i="4"/>
  <c r="O20" i="4"/>
  <c r="O21" i="4"/>
  <c r="O22" i="4"/>
  <c r="O23" i="4"/>
  <c r="O24" i="4"/>
  <c r="O25" i="4"/>
  <c r="O12" i="4"/>
  <c r="O28" i="4" s="1"/>
  <c r="O13" i="6"/>
  <c r="O14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12" i="6"/>
  <c r="B13" i="6" l="1"/>
  <c r="B14" i="6" s="1"/>
  <c r="B18" i="6" s="1"/>
  <c r="B19" i="6" s="1"/>
  <c r="B20" i="6" s="1"/>
  <c r="B21" i="6" s="1"/>
  <c r="B22" i="6" s="1"/>
  <c r="B23" i="6" l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K37" i="6" l="1"/>
  <c r="P37" i="6" s="1"/>
  <c r="M39" i="6" l="1"/>
  <c r="N39" i="6"/>
  <c r="K36" i="6"/>
  <c r="P36" i="6" s="1"/>
  <c r="K35" i="6"/>
  <c r="P35" i="6" s="1"/>
  <c r="J30" i="8" l="1"/>
  <c r="J32" i="8" s="1"/>
  <c r="B10" i="14" l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K9" i="11"/>
  <c r="B22" i="14" l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64" i="14"/>
  <c r="L25" i="4"/>
  <c r="P25" i="4" s="1"/>
  <c r="G14" i="11" l="1"/>
  <c r="F14" i="16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L13" i="4"/>
  <c r="L14" i="4"/>
  <c r="P14" i="4" s="1"/>
  <c r="L15" i="4"/>
  <c r="P15" i="4" s="1"/>
  <c r="L16" i="4"/>
  <c r="P16" i="4" s="1"/>
  <c r="L17" i="4"/>
  <c r="P17" i="4" s="1"/>
  <c r="L18" i="4"/>
  <c r="P18" i="4" s="1"/>
  <c r="L19" i="4"/>
  <c r="P19" i="4" s="1"/>
  <c r="L20" i="4"/>
  <c r="P20" i="4" s="1"/>
  <c r="L21" i="4"/>
  <c r="P21" i="4" s="1"/>
  <c r="L22" i="4"/>
  <c r="P22" i="4" s="1"/>
  <c r="L23" i="4"/>
  <c r="P23" i="4" s="1"/>
  <c r="L24" i="4"/>
  <c r="P24" i="4" s="1"/>
  <c r="K17" i="6"/>
  <c r="P17" i="6" s="1"/>
  <c r="K18" i="6"/>
  <c r="P18" i="6" s="1"/>
  <c r="K19" i="6"/>
  <c r="P19" i="6" s="1"/>
  <c r="K20" i="6"/>
  <c r="P20" i="6" s="1"/>
  <c r="K21" i="6"/>
  <c r="P21" i="6" s="1"/>
  <c r="K22" i="6"/>
  <c r="P22" i="6" s="1"/>
  <c r="K23" i="6"/>
  <c r="P23" i="6" s="1"/>
  <c r="K24" i="6"/>
  <c r="P24" i="6" s="1"/>
  <c r="K25" i="6"/>
  <c r="P25" i="6" s="1"/>
  <c r="K26" i="6"/>
  <c r="P26" i="6" s="1"/>
  <c r="K27" i="6"/>
  <c r="P27" i="6" s="1"/>
  <c r="K28" i="6"/>
  <c r="P28" i="6" s="1"/>
  <c r="K29" i="6"/>
  <c r="P29" i="6" s="1"/>
  <c r="K30" i="6"/>
  <c r="P30" i="6" s="1"/>
  <c r="K31" i="6"/>
  <c r="P31" i="6" s="1"/>
  <c r="K32" i="6"/>
  <c r="P32" i="6" s="1"/>
  <c r="K33" i="6"/>
  <c r="P33" i="6" s="1"/>
  <c r="K34" i="6"/>
  <c r="P34" i="6" s="1"/>
  <c r="K38" i="6"/>
  <c r="P38" i="6" s="1"/>
  <c r="P13" i="4" l="1"/>
  <c r="D9" i="9" l="1"/>
  <c r="E9" i="9" s="1"/>
  <c r="G9" i="9" s="1"/>
  <c r="D10" i="9"/>
  <c r="E10" i="9" s="1"/>
  <c r="G10" i="9" s="1"/>
  <c r="D8" i="9"/>
  <c r="E8" i="9" s="1"/>
  <c r="G8" i="9" s="1"/>
  <c r="G11" i="9" l="1"/>
  <c r="L38" i="2" l="1"/>
  <c r="F10" i="16" l="1"/>
  <c r="F16" i="16" s="1"/>
  <c r="Q11" i="3"/>
  <c r="K16" i="5"/>
  <c r="L16" i="5" s="1"/>
  <c r="J58" i="14" l="1"/>
  <c r="K55" i="14"/>
  <c r="J13" i="16" l="1"/>
  <c r="N13" i="16" l="1"/>
  <c r="L178" i="2"/>
  <c r="B13" i="4"/>
  <c r="B14" i="4" s="1"/>
  <c r="B15" i="4" s="1"/>
  <c r="B16" i="4" s="1"/>
  <c r="B17" i="4" s="1"/>
  <c r="B18" i="4" s="1"/>
  <c r="B19" i="4" s="1"/>
  <c r="B20" i="4" s="1"/>
  <c r="N10" i="16"/>
  <c r="N11" i="16" s="1"/>
  <c r="N12" i="16" s="1"/>
  <c r="J12" i="16"/>
  <c r="J14" i="16" s="1"/>
  <c r="G14" i="16"/>
  <c r="G10" i="16"/>
  <c r="G16" i="16" s="1"/>
  <c r="R28" i="16"/>
  <c r="H16" i="16"/>
  <c r="E16" i="16"/>
  <c r="I12" i="16"/>
  <c r="I14" i="16" s="1"/>
  <c r="I9" i="16"/>
  <c r="J9" i="16"/>
  <c r="I8" i="16"/>
  <c r="L134" i="2"/>
  <c r="L61" i="2"/>
  <c r="L52" i="2"/>
  <c r="I10" i="16" l="1"/>
  <c r="I16" i="16" s="1"/>
  <c r="J23" i="16"/>
  <c r="J8" i="16"/>
  <c r="J10" i="16" s="1"/>
  <c r="J16" i="16" s="1"/>
  <c r="J24" i="16" l="1"/>
  <c r="M11" i="15" l="1"/>
  <c r="N10" i="15"/>
  <c r="I9" i="15"/>
  <c r="L9" i="15" s="1"/>
  <c r="N9" i="15" s="1"/>
  <c r="I8" i="15"/>
  <c r="L8" i="15" s="1"/>
  <c r="N8" i="15" s="1"/>
  <c r="I7" i="15"/>
  <c r="I11" i="15" s="1"/>
  <c r="L18" i="15" l="1"/>
  <c r="L7" i="15"/>
  <c r="L11" i="15" s="1"/>
  <c r="N7" i="15" l="1"/>
  <c r="N11" i="15" s="1"/>
  <c r="L19" i="15" l="1"/>
  <c r="N18" i="15"/>
  <c r="L24" i="13" l="1"/>
  <c r="B15" i="13"/>
  <c r="B10" i="13"/>
  <c r="B11" i="13"/>
  <c r="C17" i="13"/>
  <c r="B17" i="13" s="1"/>
  <c r="K15" i="14" l="1"/>
  <c r="K54" i="14" l="1"/>
  <c r="K53" i="14" l="1"/>
  <c r="C14" i="13" l="1"/>
  <c r="B14" i="13" s="1"/>
  <c r="K52" i="14"/>
  <c r="K51" i="14" l="1"/>
  <c r="K50" i="14"/>
  <c r="K49" i="14" l="1"/>
  <c r="K48" i="14" l="1"/>
  <c r="J15" i="3" l="1"/>
  <c r="H47" i="14"/>
  <c r="J22" i="3"/>
  <c r="E150" i="2"/>
  <c r="E120" i="2"/>
  <c r="K12" i="11" l="1"/>
  <c r="K13" i="11"/>
  <c r="K10" i="11"/>
  <c r="E45" i="2"/>
  <c r="G24" i="6" l="1"/>
  <c r="H64" i="14" l="1"/>
  <c r="H63" i="14"/>
  <c r="H62" i="14"/>
  <c r="H61" i="14"/>
  <c r="H60" i="14"/>
  <c r="H46" i="14"/>
  <c r="H45" i="14"/>
  <c r="H44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4" i="14"/>
  <c r="K14" i="14" s="1"/>
  <c r="H13" i="14"/>
  <c r="H12" i="14"/>
  <c r="H11" i="14"/>
  <c r="H10" i="14"/>
  <c r="H9" i="14"/>
  <c r="J34" i="3"/>
  <c r="J33" i="3"/>
  <c r="J32" i="3"/>
  <c r="J31" i="3"/>
  <c r="J30" i="3"/>
  <c r="J29" i="3"/>
  <c r="J28" i="3"/>
  <c r="J27" i="3"/>
  <c r="J26" i="3"/>
  <c r="J25" i="3"/>
  <c r="J24" i="3"/>
  <c r="J23" i="3"/>
  <c r="Q21" i="3"/>
  <c r="R21" i="3" s="1"/>
  <c r="J21" i="3"/>
  <c r="J20" i="3"/>
  <c r="J19" i="3"/>
  <c r="J18" i="3"/>
  <c r="J17" i="3"/>
  <c r="J14" i="3"/>
  <c r="J13" i="3"/>
  <c r="J12" i="3"/>
  <c r="M11" i="3"/>
  <c r="R11" i="3" s="1"/>
  <c r="J11" i="3"/>
  <c r="H22" i="4"/>
  <c r="H21" i="4"/>
  <c r="H14" i="4"/>
  <c r="H15" i="4"/>
  <c r="H16" i="4"/>
  <c r="H17" i="4"/>
  <c r="H18" i="4"/>
  <c r="H19" i="4"/>
  <c r="H20" i="4"/>
  <c r="H12" i="4"/>
  <c r="G38" i="6"/>
  <c r="G27" i="6"/>
  <c r="G26" i="6"/>
  <c r="G23" i="6"/>
  <c r="G22" i="6"/>
  <c r="G21" i="6"/>
  <c r="G20" i="6"/>
  <c r="G19" i="6"/>
  <c r="G18" i="6"/>
  <c r="G17" i="6"/>
  <c r="G16" i="6"/>
  <c r="G14" i="6"/>
  <c r="G13" i="6"/>
  <c r="G12" i="6"/>
  <c r="E17" i="2"/>
  <c r="E13" i="2"/>
  <c r="E12" i="2"/>
  <c r="E7" i="2"/>
  <c r="E183" i="2"/>
  <c r="J28" i="4" l="1"/>
  <c r="H178" i="2"/>
  <c r="M178" i="2" s="1"/>
  <c r="E178" i="2"/>
  <c r="E172" i="2"/>
  <c r="H172" i="2" s="1"/>
  <c r="E165" i="2"/>
  <c r="H165" i="2" s="1"/>
  <c r="H167" i="2" s="1"/>
  <c r="H156" i="2"/>
  <c r="E156" i="2"/>
  <c r="E151" i="2"/>
  <c r="H151" i="2" s="1"/>
  <c r="H150" i="2"/>
  <c r="E138" i="2"/>
  <c r="E137" i="2"/>
  <c r="E136" i="2"/>
  <c r="E135" i="2"/>
  <c r="E134" i="2"/>
  <c r="E133" i="2"/>
  <c r="E132" i="2"/>
  <c r="H132" i="2" s="1"/>
  <c r="H120" i="2"/>
  <c r="E119" i="2"/>
  <c r="E114" i="2"/>
  <c r="H114" i="2" s="1"/>
  <c r="H113" i="2" l="1"/>
  <c r="E113" i="2"/>
  <c r="E112" i="2" l="1"/>
  <c r="E111" i="2"/>
  <c r="H111" i="2" s="1"/>
  <c r="E110" i="2"/>
  <c r="H110" i="2" s="1"/>
  <c r="E101" i="2"/>
  <c r="H101" i="2" s="1"/>
  <c r="E91" i="2"/>
  <c r="H91" i="2" s="1"/>
  <c r="H90" i="2"/>
  <c r="E90" i="2"/>
  <c r="E89" i="2"/>
  <c r="H89" i="2" s="1"/>
  <c r="E88" i="2"/>
  <c r="H88" i="2" s="1"/>
  <c r="E87" i="2"/>
  <c r="H87" i="2" s="1"/>
  <c r="E86" i="2"/>
  <c r="H86" i="2" s="1"/>
  <c r="E85" i="2"/>
  <c r="H85" i="2" s="1"/>
  <c r="E74" i="2"/>
  <c r="H74" i="2" s="1"/>
  <c r="L69" i="2"/>
  <c r="E69" i="2"/>
  <c r="H69" i="2" s="1"/>
  <c r="E68" i="2"/>
  <c r="H68" i="2" s="1"/>
  <c r="E96" i="2"/>
  <c r="H96" i="2" s="1"/>
  <c r="H45" i="2"/>
  <c r="E67" i="2"/>
  <c r="H67" i="2" s="1"/>
  <c r="E62" i="2"/>
  <c r="H62" i="2" s="1"/>
  <c r="E61" i="2"/>
  <c r="H61" i="2" s="1"/>
  <c r="M61" i="2" s="1"/>
  <c r="K53" i="2"/>
  <c r="E52" i="2"/>
  <c r="H52" i="2" s="1"/>
  <c r="M52" i="2" s="1"/>
  <c r="E51" i="2"/>
  <c r="H51" i="2" s="1"/>
  <c r="E46" i="2"/>
  <c r="H46" i="2" s="1"/>
  <c r="E44" i="2"/>
  <c r="H44" i="2" s="1"/>
  <c r="E43" i="2"/>
  <c r="H43" i="2" s="1"/>
  <c r="M43" i="2" s="1"/>
  <c r="E38" i="2"/>
  <c r="H38" i="2" s="1"/>
  <c r="E37" i="2"/>
  <c r="H37" i="2" s="1"/>
  <c r="E33" i="2"/>
  <c r="E32" i="2"/>
  <c r="E23" i="2"/>
  <c r="H23" i="2" s="1"/>
  <c r="H17" i="2"/>
  <c r="H13" i="2"/>
  <c r="H12" i="2"/>
  <c r="M69" i="2" l="1"/>
  <c r="H7" i="2"/>
  <c r="H9" i="2" s="1"/>
  <c r="K30" i="14" l="1"/>
  <c r="K46" i="14" l="1"/>
  <c r="K45" i="14" l="1"/>
  <c r="K47" i="14" l="1"/>
  <c r="J121" i="2" l="1"/>
  <c r="H17" i="13" l="1"/>
  <c r="H18" i="13" s="1"/>
  <c r="O35" i="3" l="1"/>
  <c r="J65" i="14" l="1"/>
  <c r="J67" i="14" s="1"/>
  <c r="K121" i="2" l="1"/>
  <c r="F121" i="2"/>
  <c r="H119" i="2"/>
  <c r="L119" i="2"/>
  <c r="H121" i="2" l="1"/>
  <c r="M119" i="2"/>
  <c r="K61" i="14" l="1"/>
  <c r="K62" i="14"/>
  <c r="K63" i="14"/>
  <c r="K64" i="14"/>
  <c r="K60" i="14"/>
  <c r="K10" i="14"/>
  <c r="K11" i="14"/>
  <c r="K12" i="14"/>
  <c r="K13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9" i="14"/>
  <c r="I65" i="14"/>
  <c r="I67" i="14" s="1"/>
  <c r="C13" i="13" s="1"/>
  <c r="B13" i="13" s="1"/>
  <c r="K58" i="14" l="1"/>
  <c r="K65" i="14"/>
  <c r="K78" i="14"/>
  <c r="K67" i="14" l="1"/>
  <c r="K79" i="14" l="1"/>
  <c r="U35" i="3"/>
  <c r="H47" i="2" l="1"/>
  <c r="K47" i="2"/>
  <c r="G184" i="2" l="1"/>
  <c r="J184" i="2"/>
  <c r="G179" i="2"/>
  <c r="K92" i="2" l="1"/>
  <c r="L91" i="2"/>
  <c r="M91" i="2" s="1"/>
  <c r="H92" i="2"/>
  <c r="G92" i="2"/>
  <c r="F92" i="2"/>
  <c r="L45" i="2" l="1"/>
  <c r="M45" i="2" s="1"/>
  <c r="H112" i="2" l="1"/>
  <c r="L9" i="5" l="1"/>
  <c r="L10" i="5"/>
  <c r="L11" i="5"/>
  <c r="L12" i="5"/>
  <c r="L13" i="5"/>
  <c r="L14" i="5"/>
  <c r="L15" i="5"/>
  <c r="L17" i="5"/>
  <c r="L8" i="5"/>
  <c r="L18" i="5" s="1"/>
  <c r="I18" i="5"/>
  <c r="J14" i="2" l="1"/>
  <c r="J18" i="2"/>
  <c r="J24" i="2"/>
  <c r="J34" i="2"/>
  <c r="J39" i="2"/>
  <c r="J53" i="2"/>
  <c r="J63" i="2"/>
  <c r="J70" i="2"/>
  <c r="J75" i="2"/>
  <c r="J92" i="2"/>
  <c r="J97" i="2"/>
  <c r="J102" i="2"/>
  <c r="J115" i="2"/>
  <c r="J139" i="2"/>
  <c r="J152" i="2"/>
  <c r="J167" i="2"/>
  <c r="J173" i="2"/>
  <c r="J179" i="2"/>
  <c r="J187" i="2" l="1"/>
  <c r="H183" i="2"/>
  <c r="H184" i="2" s="1"/>
  <c r="F184" i="2"/>
  <c r="K184" i="2"/>
  <c r="L183" i="2"/>
  <c r="L184" i="2" l="1"/>
  <c r="M183" i="2"/>
  <c r="M184" i="2" s="1"/>
  <c r="O184" i="2" s="1"/>
  <c r="I39" i="6"/>
  <c r="L39" i="6"/>
  <c r="E13" i="13" l="1"/>
  <c r="F14" i="13"/>
  <c r="K63" i="2" l="1"/>
  <c r="K70" i="2"/>
  <c r="K173" i="2"/>
  <c r="K179" i="2"/>
  <c r="K35" i="3" l="1"/>
  <c r="M35" i="3"/>
  <c r="C12" i="13" s="1"/>
  <c r="B12" i="13" s="1"/>
  <c r="P35" i="3"/>
  <c r="D18" i="5" l="1"/>
  <c r="P2" i="2" l="1"/>
  <c r="P3" i="2"/>
  <c r="P4" i="2"/>
  <c r="K157" i="2"/>
  <c r="K152" i="2"/>
  <c r="K139" i="2"/>
  <c r="K115" i="2"/>
  <c r="K102" i="2"/>
  <c r="K97" i="2"/>
  <c r="K75" i="2"/>
  <c r="H70" i="2"/>
  <c r="K39" i="2"/>
  <c r="K34" i="2"/>
  <c r="K24" i="2"/>
  <c r="K18" i="2"/>
  <c r="K14" i="2"/>
  <c r="I179" i="2"/>
  <c r="L179" i="2"/>
  <c r="F14" i="2"/>
  <c r="H14" i="2"/>
  <c r="I14" i="2"/>
  <c r="G18" i="5"/>
  <c r="K12" i="6"/>
  <c r="P12" i="6" s="1"/>
  <c r="Q17" i="3"/>
  <c r="R17" i="3" s="1"/>
  <c r="L44" i="2"/>
  <c r="M44" i="2" s="1"/>
  <c r="K187" i="2" l="1"/>
  <c r="C8" i="13"/>
  <c r="B8" i="13" s="1"/>
  <c r="L27" i="5"/>
  <c r="L28" i="5" s="1"/>
  <c r="H179" i="2"/>
  <c r="O179" i="2" s="1"/>
  <c r="H173" i="2"/>
  <c r="H157" i="2"/>
  <c r="H152" i="2"/>
  <c r="H115" i="2"/>
  <c r="H102" i="2"/>
  <c r="H97" i="2"/>
  <c r="H75" i="2"/>
  <c r="H63" i="2"/>
  <c r="H53" i="2"/>
  <c r="H39" i="2"/>
  <c r="H34" i="2"/>
  <c r="H18" i="2"/>
  <c r="F179" i="2" l="1"/>
  <c r="F47" i="2"/>
  <c r="F24" i="2"/>
  <c r="F18" i="2"/>
  <c r="F63" i="2" l="1"/>
  <c r="M179" i="2"/>
  <c r="P179" i="2" l="1"/>
  <c r="E8" i="13"/>
  <c r="M28" i="4"/>
  <c r="H24" i="2" l="1"/>
  <c r="U18" i="6" l="1"/>
  <c r="V18" i="6" s="1"/>
  <c r="U21" i="6"/>
  <c r="V21" i="6" s="1"/>
  <c r="G9" i="14" l="1"/>
  <c r="G10" i="14" s="1"/>
  <c r="G11" i="14" s="1"/>
  <c r="G12" i="14" s="1"/>
  <c r="G60" i="14" s="1"/>
  <c r="G13" i="14" s="1"/>
  <c r="G14" i="14" s="1"/>
  <c r="G15" i="14" s="1"/>
  <c r="G16" i="14" s="1"/>
  <c r="G17" i="14" s="1"/>
  <c r="G61" i="14" s="1"/>
  <c r="G62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l="1"/>
  <c r="G33" i="14" s="1"/>
  <c r="G63" i="14" s="1"/>
  <c r="G34" i="14" s="1"/>
  <c r="G35" i="14" s="1"/>
  <c r="G36" i="14" s="1"/>
  <c r="G37" i="14" s="1"/>
  <c r="G38" i="14" s="1"/>
  <c r="G39" i="14" s="1"/>
  <c r="G41" i="14" s="1"/>
  <c r="F17" i="13"/>
  <c r="F18" i="13" s="1"/>
  <c r="G64" i="14" l="1"/>
  <c r="I167" i="2" l="1"/>
  <c r="G167" i="2"/>
  <c r="A73" i="13" l="1"/>
  <c r="L165" i="2" l="1"/>
  <c r="L167" i="2" s="1"/>
  <c r="L172" i="2"/>
  <c r="F173" i="2"/>
  <c r="G173" i="2"/>
  <c r="I173" i="2"/>
  <c r="O167" i="2" l="1"/>
  <c r="M165" i="2"/>
  <c r="M167" i="2" s="1"/>
  <c r="L173" i="2"/>
  <c r="O173" i="2" s="1"/>
  <c r="M172" i="2"/>
  <c r="R26" i="11"/>
  <c r="I14" i="11"/>
  <c r="H14" i="11"/>
  <c r="F14" i="11"/>
  <c r="D14" i="11"/>
  <c r="J13" i="11"/>
  <c r="J12" i="11"/>
  <c r="K11" i="11"/>
  <c r="J11" i="11"/>
  <c r="J10" i="11"/>
  <c r="J9" i="11"/>
  <c r="K8" i="11"/>
  <c r="J8" i="11"/>
  <c r="K21" i="11" l="1"/>
  <c r="K14" i="11"/>
  <c r="C16" i="13" s="1"/>
  <c r="B16" i="13" s="1"/>
  <c r="M173" i="2"/>
  <c r="P173" i="2" s="1"/>
  <c r="P167" i="2"/>
  <c r="J14" i="11"/>
  <c r="K22" i="11" l="1"/>
  <c r="C11" i="9"/>
  <c r="G15" i="13" l="1"/>
  <c r="G18" i="13" l="1"/>
  <c r="S30" i="5" l="1"/>
  <c r="J39" i="6" l="1"/>
  <c r="K16" i="6" l="1"/>
  <c r="P16" i="6" s="1"/>
  <c r="K14" i="6"/>
  <c r="P14" i="6" s="1"/>
  <c r="K13" i="6"/>
  <c r="P13" i="6" s="1"/>
  <c r="H18" i="5"/>
  <c r="K17" i="5"/>
  <c r="K15" i="5"/>
  <c r="K14" i="5"/>
  <c r="K13" i="5"/>
  <c r="K12" i="5"/>
  <c r="K11" i="5"/>
  <c r="K10" i="5"/>
  <c r="K9" i="5"/>
  <c r="K8" i="5"/>
  <c r="K28" i="4"/>
  <c r="L12" i="4"/>
  <c r="L28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I11" i="3"/>
  <c r="L111" i="2"/>
  <c r="M111" i="2" s="1"/>
  <c r="L112" i="2"/>
  <c r="M112" i="2" s="1"/>
  <c r="L113" i="2"/>
  <c r="M113" i="2" s="1"/>
  <c r="L114" i="2"/>
  <c r="M114" i="2" s="1"/>
  <c r="L110" i="2"/>
  <c r="L68" i="2"/>
  <c r="M68" i="2" s="1"/>
  <c r="L67" i="2"/>
  <c r="M67" i="2" s="1"/>
  <c r="L62" i="2"/>
  <c r="M62" i="2" s="1"/>
  <c r="L51" i="2"/>
  <c r="M51" i="2" s="1"/>
  <c r="K18" i="5" l="1"/>
  <c r="P12" i="4"/>
  <c r="P28" i="4" s="1"/>
  <c r="O39" i="6"/>
  <c r="M120" i="2"/>
  <c r="M121" i="2" s="1"/>
  <c r="L121" i="2"/>
  <c r="Q35" i="3"/>
  <c r="R44" i="3" s="1"/>
  <c r="L63" i="2"/>
  <c r="M63" i="2"/>
  <c r="L115" i="2"/>
  <c r="M110" i="2"/>
  <c r="L70" i="2"/>
  <c r="K39" i="6"/>
  <c r="M53" i="2"/>
  <c r="R35" i="3"/>
  <c r="G139" i="2"/>
  <c r="F139" i="2"/>
  <c r="L156" i="2"/>
  <c r="M156" i="2" s="1"/>
  <c r="G157" i="2"/>
  <c r="I157" i="2"/>
  <c r="F157" i="2"/>
  <c r="L151" i="2"/>
  <c r="M151" i="2" s="1"/>
  <c r="L150" i="2"/>
  <c r="M150" i="2" s="1"/>
  <c r="G152" i="2"/>
  <c r="I152" i="2"/>
  <c r="F152" i="2"/>
  <c r="H133" i="2"/>
  <c r="H134" i="2"/>
  <c r="M134" i="2" s="1"/>
  <c r="H135" i="2"/>
  <c r="H136" i="2"/>
  <c r="H137" i="2"/>
  <c r="H138" i="2"/>
  <c r="L133" i="2"/>
  <c r="L135" i="2"/>
  <c r="L136" i="2"/>
  <c r="L137" i="2"/>
  <c r="L138" i="2"/>
  <c r="L132" i="2"/>
  <c r="M132" i="2" s="1"/>
  <c r="G121" i="2"/>
  <c r="I121" i="2"/>
  <c r="G115" i="2"/>
  <c r="I115" i="2"/>
  <c r="F115" i="2"/>
  <c r="L101" i="2"/>
  <c r="M101" i="2" s="1"/>
  <c r="G102" i="2"/>
  <c r="I102" i="2"/>
  <c r="F102" i="2"/>
  <c r="L96" i="2"/>
  <c r="M96" i="2" s="1"/>
  <c r="G97" i="2"/>
  <c r="I97" i="2"/>
  <c r="F97" i="2"/>
  <c r="L86" i="2"/>
  <c r="M86" i="2" s="1"/>
  <c r="L87" i="2"/>
  <c r="M87" i="2" s="1"/>
  <c r="L88" i="2"/>
  <c r="M88" i="2" s="1"/>
  <c r="L89" i="2"/>
  <c r="M89" i="2" s="1"/>
  <c r="L90" i="2"/>
  <c r="M90" i="2" s="1"/>
  <c r="L85" i="2"/>
  <c r="I92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M38" i="2"/>
  <c r="L37" i="2"/>
  <c r="M37" i="2" s="1"/>
  <c r="G39" i="2"/>
  <c r="I39" i="2"/>
  <c r="F39" i="2"/>
  <c r="L33" i="2"/>
  <c r="M33" i="2" s="1"/>
  <c r="G34" i="2"/>
  <c r="I34" i="2"/>
  <c r="F34" i="2"/>
  <c r="L23" i="2"/>
  <c r="M23" i="2" s="1"/>
  <c r="G24" i="2"/>
  <c r="I24" i="2"/>
  <c r="L17" i="2"/>
  <c r="M17" i="2" s="1"/>
  <c r="G18" i="2"/>
  <c r="I18" i="2"/>
  <c r="L13" i="2"/>
  <c r="M13" i="2" s="1"/>
  <c r="L12" i="2"/>
  <c r="M12" i="2" s="1"/>
  <c r="G14" i="2"/>
  <c r="L7" i="2"/>
  <c r="G9" i="2"/>
  <c r="I9" i="2"/>
  <c r="G187" i="2" l="1"/>
  <c r="F197" i="2"/>
  <c r="F187" i="2"/>
  <c r="M7" i="2"/>
  <c r="M9" i="2" s="1"/>
  <c r="L9" i="2"/>
  <c r="P39" i="6"/>
  <c r="P55" i="6"/>
  <c r="P35" i="4"/>
  <c r="E11" i="13"/>
  <c r="M24" i="2"/>
  <c r="O63" i="2"/>
  <c r="E12" i="13"/>
  <c r="R45" i="3"/>
  <c r="M85" i="2"/>
  <c r="M92" i="2" s="1"/>
  <c r="L92" i="2"/>
  <c r="O92" i="2" s="1"/>
  <c r="M47" i="2"/>
  <c r="L47" i="2"/>
  <c r="O47" i="2" s="1"/>
  <c r="M138" i="2"/>
  <c r="M137" i="2"/>
  <c r="M136" i="2"/>
  <c r="L75" i="2"/>
  <c r="O75" i="2" s="1"/>
  <c r="M74" i="2"/>
  <c r="M135" i="2"/>
  <c r="M133" i="2"/>
  <c r="M152" i="2"/>
  <c r="O121" i="2"/>
  <c r="O115" i="2"/>
  <c r="M18" i="2"/>
  <c r="M70" i="2"/>
  <c r="L139" i="2"/>
  <c r="O53" i="2"/>
  <c r="P53" i="2" s="1"/>
  <c r="O70" i="2"/>
  <c r="H139" i="2"/>
  <c r="H187" i="2" s="1"/>
  <c r="L152" i="2"/>
  <c r="O152" i="2" s="1"/>
  <c r="L14" i="2"/>
  <c r="O14" i="2" s="1"/>
  <c r="M34" i="2"/>
  <c r="L97" i="2"/>
  <c r="O97" i="2" s="1"/>
  <c r="L102" i="2"/>
  <c r="L157" i="2"/>
  <c r="O157" i="2" s="1"/>
  <c r="M115" i="2"/>
  <c r="L39" i="2"/>
  <c r="O39" i="2" s="1"/>
  <c r="L18" i="2"/>
  <c r="O18" i="2" s="1"/>
  <c r="L34" i="2"/>
  <c r="O34" i="2" s="1"/>
  <c r="L24" i="2"/>
  <c r="O24" i="2" l="1"/>
  <c r="L187" i="2"/>
  <c r="P36" i="4"/>
  <c r="C9" i="13"/>
  <c r="B9" i="13" s="1"/>
  <c r="B18" i="13" s="1"/>
  <c r="F198" i="2"/>
  <c r="E10" i="13"/>
  <c r="E23" i="13" s="1"/>
  <c r="O102" i="2"/>
  <c r="M139" i="2"/>
  <c r="P121" i="2"/>
  <c r="P115" i="2"/>
  <c r="P70" i="2"/>
  <c r="M157" i="2"/>
  <c r="P157" i="2" s="1"/>
  <c r="M97" i="2"/>
  <c r="P97" i="2" s="1"/>
  <c r="P34" i="2"/>
  <c r="P63" i="2"/>
  <c r="M102" i="2"/>
  <c r="M14" i="2"/>
  <c r="P92" i="2"/>
  <c r="P18" i="2"/>
  <c r="M75" i="2"/>
  <c r="P75" i="2" s="1"/>
  <c r="M39" i="2"/>
  <c r="P39" i="2" s="1"/>
  <c r="P24" i="2"/>
  <c r="P152" i="2"/>
  <c r="O9" i="2"/>
  <c r="P9" i="2" s="1"/>
  <c r="M187" i="2" l="1"/>
  <c r="P102" i="2"/>
  <c r="P14" i="2"/>
  <c r="P47" i="2"/>
  <c r="I139" i="2"/>
  <c r="I187" i="2" l="1"/>
  <c r="M197" i="2" s="1"/>
  <c r="K197" i="2"/>
  <c r="K198" i="2" s="1"/>
  <c r="C18" i="13"/>
  <c r="O139" i="2"/>
  <c r="O197" i="2" s="1"/>
  <c r="E9" i="13"/>
  <c r="E22" i="13" s="1"/>
  <c r="E24" i="13" l="1"/>
  <c r="P139" i="2"/>
  <c r="M198" i="2"/>
  <c r="M199" i="2" s="1"/>
  <c r="E18" i="13"/>
  <c r="F20" i="13" s="1"/>
  <c r="P56" i="6" l="1"/>
</calcChain>
</file>

<file path=xl/sharedStrings.xml><?xml version="1.0" encoding="utf-8"?>
<sst xmlns="http://schemas.openxmlformats.org/spreadsheetml/2006/main" count="1294" uniqueCount="792">
  <si>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</si>
  <si>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</si>
  <si>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</si>
  <si>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</si>
  <si>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</si>
  <si>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</si>
  <si>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</si>
  <si>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</si>
  <si>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</si>
  <si>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</si>
  <si>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</si>
  <si>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</si>
  <si>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</si>
  <si>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</si>
  <si>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</si>
  <si>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</si>
  <si>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</si>
  <si>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</si>
  <si>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</si>
  <si>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</si>
  <si>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</si>
  <si>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</si>
  <si>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</si>
  <si>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</si>
  <si>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</si>
  <si>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</si>
  <si>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</si>
  <si>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</si>
  <si>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</si>
  <si>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</si>
  <si>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</si>
  <si>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</si>
  <si>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</si>
  <si>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</si>
  <si>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</si>
  <si>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</si>
  <si>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</si>
  <si>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</si>
  <si>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</si>
  <si>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</si>
  <si>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</si>
  <si>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VERONICA SANTOS CARRILLO</t>
  </si>
  <si>
    <t>MARIO MARTINEZ FLORES</t>
  </si>
  <si>
    <t xml:space="preserve">I.S.R. </t>
  </si>
  <si>
    <t xml:space="preserve">Subs al Empleo 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</si>
  <si>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</si>
  <si>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</si>
  <si>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</si>
  <si>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</si>
  <si>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</si>
  <si>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</si>
  <si>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</si>
  <si>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</si>
  <si>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</si>
  <si>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</si>
  <si>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</si>
  <si>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</si>
  <si>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</si>
  <si>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</si>
  <si>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</si>
  <si>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</si>
  <si>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</si>
  <si>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</si>
  <si>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</si>
  <si>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</si>
  <si>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</si>
  <si>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</si>
  <si>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</si>
  <si>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</si>
  <si>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</si>
  <si>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</si>
  <si>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</si>
  <si>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</si>
  <si>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</si>
  <si>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</si>
  <si>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</si>
  <si>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</si>
  <si>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</si>
  <si>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</si>
  <si>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</si>
  <si>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</si>
  <si>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</si>
  <si>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</si>
  <si>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</si>
  <si>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</si>
  <si>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</si>
  <si>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</si>
  <si>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</si>
  <si>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</si>
  <si>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</si>
  <si>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</si>
  <si>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</si>
  <si>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</si>
  <si>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</si>
  <si>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</si>
  <si>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</si>
  <si>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</si>
  <si>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</si>
  <si>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</si>
  <si>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</si>
  <si>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</si>
  <si>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</si>
  <si>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</si>
  <si>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</si>
  <si>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</si>
  <si>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</si>
  <si>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</si>
  <si>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</si>
  <si>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</si>
  <si>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</si>
  <si>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</si>
  <si>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</si>
  <si>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</si>
  <si>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</si>
  <si>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</si>
  <si>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</si>
  <si>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</si>
  <si>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</si>
  <si>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</si>
  <si>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</si>
  <si>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</si>
  <si>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</si>
  <si>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</si>
  <si>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</si>
  <si>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</si>
  <si>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</si>
  <si>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</si>
  <si>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</si>
  <si>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</si>
  <si>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</si>
  <si>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</si>
  <si>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</si>
  <si>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</si>
  <si>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</si>
  <si>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</si>
  <si>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</si>
  <si>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</si>
  <si>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</si>
  <si>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</si>
  <si>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</si>
  <si>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</si>
  <si>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</si>
  <si>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</si>
  <si>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</si>
  <si>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</si>
  <si>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</si>
  <si>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</si>
  <si>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</si>
  <si>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</si>
  <si>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</si>
  <si>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</si>
  <si>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</si>
  <si>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</si>
  <si>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</si>
  <si>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</si>
  <si>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</si>
  <si>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</si>
  <si>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</si>
  <si>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</si>
  <si>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</si>
  <si>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</si>
  <si>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</si>
  <si>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</si>
  <si>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</si>
  <si>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</si>
  <si>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</si>
  <si>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</si>
  <si>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</si>
  <si>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</si>
  <si>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</si>
  <si>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</si>
  <si>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Lopez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</si>
  <si>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</si>
  <si>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</si>
  <si>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</si>
  <si>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</si>
  <si>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</si>
  <si>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</si>
  <si>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</si>
  <si>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</si>
  <si>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</si>
  <si>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</si>
  <si>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</si>
  <si>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</si>
  <si>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</si>
  <si>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</si>
  <si>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</si>
  <si>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</si>
  <si>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</si>
  <si>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</si>
  <si>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</si>
  <si>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</si>
  <si>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</si>
  <si>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DIRECTOR</t>
  </si>
  <si>
    <t xml:space="preserve">Isidro Guadalupe </t>
  </si>
  <si>
    <t>Comandante</t>
  </si>
  <si>
    <t>Jose Juan</t>
  </si>
  <si>
    <t>J.Guadalupe</t>
  </si>
  <si>
    <t>Policia de linea</t>
  </si>
  <si>
    <t>Diaz</t>
  </si>
  <si>
    <t>J. Jesus</t>
  </si>
  <si>
    <t>J.Manuel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</si>
  <si>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</si>
  <si>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</si>
  <si>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</si>
  <si>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</si>
  <si>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</si>
  <si>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</si>
  <si>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</si>
  <si>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</si>
  <si>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</si>
  <si>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</si>
  <si>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</si>
  <si>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</si>
  <si>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</si>
  <si>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</si>
  <si>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</si>
  <si>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</si>
  <si>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</si>
  <si>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</si>
  <si>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</si>
  <si>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</si>
  <si>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</si>
  <si>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</si>
  <si>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</si>
  <si>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</si>
  <si>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</si>
  <si>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</si>
  <si>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</si>
  <si>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</si>
  <si>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</si>
  <si>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</si>
  <si>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</si>
  <si>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</si>
  <si>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</si>
  <si>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</si>
  <si>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</si>
  <si>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</si>
  <si>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</si>
  <si>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</si>
  <si>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</si>
  <si>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</si>
  <si>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</si>
  <si>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</si>
  <si>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</si>
  <si>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</si>
  <si>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</si>
  <si>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</si>
  <si>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</si>
  <si>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</si>
  <si>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</si>
  <si>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</si>
  <si>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</si>
  <si>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</si>
  <si>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</si>
  <si>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</si>
  <si>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</si>
  <si>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</si>
  <si>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</si>
  <si>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</si>
  <si>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</si>
  <si>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</si>
  <si>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</si>
  <si>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</si>
  <si>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</si>
  <si>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</si>
  <si>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</si>
  <si>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</si>
  <si>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</si>
  <si>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</si>
  <si>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</si>
  <si>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</si>
  <si>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</si>
  <si>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</si>
  <si>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</si>
  <si>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</si>
  <si>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</si>
  <si>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</si>
  <si>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</si>
  <si>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</si>
  <si>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</si>
  <si>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</si>
  <si>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</si>
  <si>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</si>
  <si>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</si>
  <si>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</si>
  <si>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</si>
  <si>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JORGE RAYGOZA MORENO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</si>
  <si>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</si>
  <si>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</si>
  <si>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</si>
  <si>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</si>
  <si>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</si>
  <si>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</si>
  <si>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</si>
  <si>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</si>
  <si>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</si>
  <si>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</si>
  <si>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</si>
  <si>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</si>
  <si>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</si>
  <si>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</si>
  <si>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</si>
  <si>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</si>
  <si>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</si>
  <si>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</si>
  <si>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</si>
  <si>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</si>
  <si>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</si>
  <si>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</si>
  <si>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</si>
  <si>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</si>
  <si>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</si>
  <si>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</si>
  <si>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</si>
  <si>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</si>
  <si>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</si>
  <si>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</si>
  <si>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</si>
  <si>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</si>
  <si>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</si>
  <si>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</si>
  <si>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</si>
  <si>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</si>
  <si>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</si>
  <si>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</si>
  <si>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</si>
  <si>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</si>
  <si>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</si>
  <si>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</si>
  <si>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</si>
  <si>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</si>
  <si>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</si>
  <si>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</si>
  <si>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</si>
  <si>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</si>
  <si>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</si>
  <si>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</si>
  <si>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</si>
  <si>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</si>
  <si>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</si>
  <si>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</si>
  <si>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</si>
  <si>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</si>
  <si>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</si>
  <si>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</si>
  <si>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</si>
  <si>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</si>
  <si>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</si>
  <si>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</si>
  <si>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</si>
  <si>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</si>
  <si>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</si>
  <si>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</si>
  <si>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</si>
  <si>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</si>
  <si>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</si>
  <si>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</si>
  <si>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</si>
  <si>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</si>
  <si>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</si>
  <si>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</si>
  <si>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</si>
  <si>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</si>
  <si>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</si>
  <si>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</si>
  <si>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</si>
  <si>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</si>
  <si>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</si>
  <si>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</si>
  <si>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</si>
  <si>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</si>
  <si>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</si>
  <si>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</si>
  <si>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</si>
  <si>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</si>
  <si>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</si>
  <si>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</si>
  <si>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</si>
  <si>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</si>
  <si>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</si>
  <si>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</si>
  <si>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</si>
  <si>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</si>
  <si>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</si>
  <si>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</si>
  <si>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</si>
  <si>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</si>
  <si>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</si>
  <si>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</si>
  <si>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</si>
  <si>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</si>
  <si>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Casa Cultura</t>
  </si>
  <si>
    <t xml:space="preserve">ISR </t>
  </si>
  <si>
    <t>mensual</t>
  </si>
  <si>
    <t>Instructores de casa de Cultura.</t>
  </si>
  <si>
    <t>Chavez</t>
  </si>
  <si>
    <t>Ana Rosa</t>
  </si>
  <si>
    <t>Felipe</t>
  </si>
  <si>
    <t>Instructor de Charrerria</t>
  </si>
  <si>
    <t>HICF940309TU7</t>
  </si>
  <si>
    <t>TOTAL MENSUAL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</si>
  <si>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</si>
  <si>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</si>
  <si>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</si>
  <si>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</si>
  <si>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</si>
  <si>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</si>
  <si>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</si>
  <si>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</si>
  <si>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</si>
  <si>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</si>
  <si>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</si>
  <si>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</si>
  <si>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</si>
  <si>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</si>
  <si>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</si>
  <si>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</si>
  <si>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</si>
  <si>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</si>
  <si>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</si>
  <si>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</si>
  <si>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</si>
  <si>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</si>
  <si>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</si>
  <si>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</si>
  <si>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</si>
  <si>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</si>
  <si>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</si>
  <si>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</si>
  <si>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</si>
  <si>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</si>
  <si>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</si>
  <si>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JUAN ZENON TORRES CARRILLO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</si>
  <si>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</si>
  <si>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</si>
  <si>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</si>
  <si>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</si>
  <si>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</si>
  <si>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</si>
  <si>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</si>
  <si>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</si>
  <si>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</si>
  <si>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</si>
  <si>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</si>
  <si>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</si>
  <si>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</si>
  <si>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</si>
  <si>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</si>
  <si>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</si>
  <si>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</si>
  <si>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</si>
  <si>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</si>
  <si>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</si>
  <si>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</si>
  <si>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</si>
  <si>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</si>
  <si>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</si>
  <si>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</si>
  <si>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</si>
  <si>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</si>
  <si>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</si>
  <si>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</si>
  <si>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</si>
  <si>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</si>
  <si>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</si>
  <si>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</si>
  <si>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</si>
  <si>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</si>
  <si>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</si>
  <si>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</si>
  <si>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</si>
  <si>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RAMJ-901027</t>
  </si>
  <si>
    <t xml:space="preserve">Enc. De Parque Ecologico </t>
  </si>
  <si>
    <t>Labor de Guadalupe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</si>
  <si>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</si>
  <si>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</si>
  <si>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</si>
  <si>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</si>
  <si>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</si>
  <si>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</si>
  <si>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</si>
  <si>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</si>
  <si>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</si>
  <si>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</si>
  <si>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</si>
  <si>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</si>
  <si>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</si>
  <si>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</si>
  <si>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</si>
  <si>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</si>
  <si>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</si>
  <si>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</si>
  <si>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</si>
  <si>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</si>
  <si>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</si>
  <si>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</si>
  <si>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</si>
  <si>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</si>
  <si>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</si>
  <si>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</si>
  <si>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</si>
  <si>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</si>
  <si>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</si>
  <si>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</si>
  <si>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</si>
  <si>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</si>
  <si>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</si>
  <si>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</si>
  <si>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</si>
  <si>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</si>
  <si>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</si>
  <si>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</si>
  <si>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</si>
  <si>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</si>
  <si>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</si>
  <si>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</si>
  <si>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</si>
  <si>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</si>
  <si>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</si>
  <si>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</si>
  <si>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</si>
  <si>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</si>
  <si>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</si>
  <si>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</si>
  <si>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</si>
  <si>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</si>
  <si>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</si>
  <si>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</si>
  <si>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</si>
  <si>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>Nomina de Eventuales</t>
  </si>
  <si>
    <t>Pago Semanal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</si>
  <si>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</si>
  <si>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</si>
  <si>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</si>
  <si>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</si>
  <si>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</si>
  <si>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</si>
  <si>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</si>
  <si>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</si>
  <si>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</si>
  <si>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</si>
  <si>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</si>
  <si>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</si>
  <si>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</si>
  <si>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</si>
  <si>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</si>
  <si>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</si>
  <si>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</si>
  <si>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</si>
  <si>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</si>
  <si>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</si>
  <si>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</si>
  <si>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 xml:space="preserve">JOSE GUTIERREZ RODRIGUEZ </t>
  </si>
  <si>
    <t>Secretario de Obras Publicas</t>
  </si>
  <si>
    <t>GERARDO MANZANO PEREZ</t>
  </si>
  <si>
    <t>Aguilar</t>
  </si>
  <si>
    <t xml:space="preserve">NOMINA EVENTUAL 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</si>
  <si>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</si>
  <si>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</si>
  <si>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</si>
  <si>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</si>
  <si>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</si>
  <si>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</si>
  <si>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</si>
  <si>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</si>
  <si>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</si>
  <si>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</si>
  <si>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</si>
  <si>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</si>
  <si>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</si>
  <si>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</si>
  <si>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</si>
  <si>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</si>
  <si>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</si>
  <si>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</si>
  <si>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</si>
  <si>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GALVAN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</si>
  <si>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</si>
  <si>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</si>
  <si>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</si>
  <si>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</si>
  <si>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</si>
  <si>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</si>
  <si>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</si>
  <si>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</si>
  <si>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</si>
  <si>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</si>
  <si>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</si>
  <si>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</si>
  <si>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</si>
  <si>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</si>
  <si>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</si>
  <si>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</si>
  <si>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</si>
  <si>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</si>
  <si>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</si>
  <si>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</si>
  <si>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 xml:space="preserve">HUERTA </t>
  </si>
  <si>
    <t xml:space="preserve">RAYGOSA </t>
  </si>
  <si>
    <t>BERENICE</t>
  </si>
  <si>
    <t>German</t>
  </si>
  <si>
    <t>OLGA PATRICIA VALDIVIA CARRILLO</t>
  </si>
  <si>
    <t>Corona</t>
  </si>
  <si>
    <t>Miguel</t>
  </si>
  <si>
    <t>JOSE ASCENCION JIMENEZ PONCE</t>
  </si>
  <si>
    <t>Operador de Maquina</t>
  </si>
  <si>
    <t>Alta 01-oct-2019.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</si>
  <si>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</si>
  <si>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</si>
  <si>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</si>
  <si>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</si>
  <si>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</si>
  <si>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</si>
  <si>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</si>
  <si>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</si>
  <si>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</si>
  <si>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</si>
  <si>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</si>
  <si>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</si>
  <si>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</si>
  <si>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</si>
  <si>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</si>
  <si>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</si>
  <si>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</si>
  <si>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</si>
  <si>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</si>
  <si>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</si>
  <si>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</si>
  <si>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</si>
  <si>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</si>
  <si>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</si>
  <si>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</si>
  <si>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</si>
  <si>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</si>
  <si>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</si>
  <si>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</si>
  <si>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>Briseño</t>
  </si>
  <si>
    <t>Bryan Santiago</t>
  </si>
  <si>
    <t>J. FELIZ LUNA PEREZ</t>
  </si>
  <si>
    <t>ALTA EL 1 DE FEBRERO 2020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</si>
  <si>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</si>
  <si>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</si>
  <si>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</si>
  <si>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</si>
  <si>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</si>
  <si>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</si>
  <si>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>ALEJANDRO FLORES RUBIO</t>
  </si>
  <si>
    <t xml:space="preserve">GARCIA </t>
  </si>
  <si>
    <t xml:space="preserve">ROBLES </t>
  </si>
  <si>
    <t>JOSEFINA</t>
  </si>
  <si>
    <t>JOSE MANUEL PALACIOS MORENO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</si>
  <si>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</si>
  <si>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</si>
  <si>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</si>
  <si>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</si>
  <si>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</si>
  <si>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</si>
  <si>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</si>
  <si>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</si>
  <si>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</si>
  <si>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</si>
  <si>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</si>
  <si>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</si>
  <si>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</si>
  <si>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</si>
  <si>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</si>
  <si>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</si>
  <si>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</si>
  <si>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</si>
  <si>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</si>
  <si>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</si>
  <si>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</si>
  <si>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</si>
  <si>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</si>
  <si>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</si>
  <si>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</si>
  <si>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</si>
  <si>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</si>
  <si>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 xml:space="preserve">Prima Junio y diciembre </t>
  </si>
  <si>
    <t>ALTA EL 1 MARZO 2020</t>
  </si>
  <si>
    <t>ALTA EL 01/03/2020</t>
  </si>
  <si>
    <t>ALTA 15 DE ENERO 2020</t>
  </si>
  <si>
    <t>Instructor de mariachi La Labor de Guadalupe y Hostotipaquillo</t>
  </si>
  <si>
    <t>C. AMALIA CALDERA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</si>
  <si>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</si>
  <si>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</si>
  <si>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</si>
  <si>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</si>
  <si>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</si>
  <si>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</si>
  <si>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</si>
  <si>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</si>
  <si>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</si>
  <si>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</si>
  <si>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</si>
  <si>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</si>
  <si>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</si>
  <si>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</si>
  <si>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 xml:space="preserve">Gutierrez </t>
  </si>
  <si>
    <t>Alta 7 de Julio 2020</t>
  </si>
  <si>
    <t xml:space="preserve">MENSUAL </t>
  </si>
  <si>
    <t xml:space="preserve">QUINCENAL </t>
  </si>
  <si>
    <t>Hiram Josafat</t>
  </si>
  <si>
    <t>alta 16 de gosto 2020</t>
  </si>
  <si>
    <t>Karina</t>
  </si>
  <si>
    <t>Oscar Rodolfo</t>
  </si>
  <si>
    <t>Vialidad</t>
  </si>
  <si>
    <t>C. ELPIDIO MACIAS GALINDO</t>
  </si>
  <si>
    <t>alta el 8 de mayo 2020</t>
  </si>
  <si>
    <t xml:space="preserve">PENSION POR JUBILACION </t>
  </si>
  <si>
    <t>PENSION POR INVALIDEZ</t>
  </si>
  <si>
    <t xml:space="preserve">TOTAL </t>
  </si>
  <si>
    <t>ALVARO CARRILLO LOPEZ</t>
  </si>
  <si>
    <t>PENSION AL 100%</t>
  </si>
  <si>
    <t>PENSION AL 90%</t>
  </si>
  <si>
    <t>PENSION AL 60%</t>
  </si>
  <si>
    <t>OFICIAL DE LINEA         ( PROTECCION CIVIL )</t>
  </si>
  <si>
    <t xml:space="preserve">MARIA DEL CONSUELO AMEZQUITA SANDOVAL </t>
  </si>
  <si>
    <t>PABLO VIALVA ENRIQUEZ</t>
  </si>
  <si>
    <t>ALTA 16 DE OCTUBRE 2020</t>
  </si>
  <si>
    <t>DIRECTOR DE DEPORTE</t>
  </si>
  <si>
    <t>AGUSTIN GONZALEZ PIZ</t>
  </si>
  <si>
    <t>Claudia</t>
  </si>
  <si>
    <t>Sandoval</t>
  </si>
  <si>
    <t>Guillermo</t>
  </si>
  <si>
    <t>ALTA EL 8 DE DIC. 2020</t>
  </si>
  <si>
    <t xml:space="preserve">EVENTUALES </t>
  </si>
  <si>
    <t xml:space="preserve">SUBTOTAL </t>
  </si>
  <si>
    <t xml:space="preserve">AUMENTO </t>
  </si>
  <si>
    <t xml:space="preserve">AUX GENERAL </t>
  </si>
  <si>
    <t xml:space="preserve">SUELDO NETO </t>
  </si>
  <si>
    <t>AUMENTO 4%</t>
  </si>
  <si>
    <t>Rojas</t>
  </si>
  <si>
    <t>Isela</t>
  </si>
  <si>
    <t>Gabriel</t>
  </si>
  <si>
    <t>alta el  21 de enero del 2021  (el primer pago se realizo con orden de pago )</t>
  </si>
  <si>
    <t>Ramona Esmeralda</t>
  </si>
  <si>
    <t>alta el 2 de febrero 2021</t>
  </si>
  <si>
    <t>ALTA  EL 11 DE ENERO 2021</t>
  </si>
  <si>
    <t>Esthela Jazmin</t>
  </si>
  <si>
    <t>alra del 7 de febrero 2021</t>
  </si>
  <si>
    <t>LEANDRO</t>
  </si>
  <si>
    <t>AUX. DE INT PLAZA DE LAS CIENEGAS</t>
  </si>
  <si>
    <t>ALTA -        15/02/2021</t>
  </si>
  <si>
    <t>cambio de sueldo apartir del 16 de febrero 2020</t>
  </si>
  <si>
    <t xml:space="preserve">IVETTE CARRILLO LOERA </t>
  </si>
  <si>
    <t>GUILLERMO RAMON CORONA PALACIOS</t>
  </si>
  <si>
    <t>ALTA 8 DE MARZO 2021</t>
  </si>
  <si>
    <t>HIRAM ANGUIANO GARAY</t>
  </si>
  <si>
    <t>AUXILIAR DE OBRAS PUBLICAS</t>
  </si>
  <si>
    <t>David Alejandro</t>
  </si>
  <si>
    <t>Encargado</t>
  </si>
  <si>
    <t>Loza</t>
  </si>
  <si>
    <t xml:space="preserve">Ariadna Jetzabel </t>
  </si>
  <si>
    <t>ALTA EL 6 DE MARZO 2021</t>
  </si>
  <si>
    <t>Zuñiga</t>
  </si>
  <si>
    <t>Jaaziel</t>
  </si>
  <si>
    <t>ALT 01 DE MARZO 2021</t>
  </si>
  <si>
    <t>Instructora de Pintura Hostotipaquillo y Santo Tomas</t>
  </si>
  <si>
    <t>MARIA ROSAURA BECERRA OLMEDO</t>
  </si>
  <si>
    <t>HORACIO PIZ MENDOZA</t>
  </si>
  <si>
    <t>ALTA 5 DE MARZO</t>
  </si>
  <si>
    <t>ALTA EL 1 DE MARZO</t>
  </si>
  <si>
    <t>ALTA EL 5 DE MARZO 2021</t>
  </si>
  <si>
    <t>Mtra. MARIA ROSAURA BECERRA OLMEDO</t>
  </si>
  <si>
    <t xml:space="preserve">   VISTO BUENO</t>
  </si>
  <si>
    <t>LIZBETH VERARIT MARTINEZ CARRILLO</t>
  </si>
  <si>
    <t>51</t>
  </si>
  <si>
    <t xml:space="preserve">Juan  Manuel </t>
  </si>
  <si>
    <t>Departamento 21 Desarrollo Rural</t>
  </si>
  <si>
    <t>Departamento 22 Transparencia</t>
  </si>
  <si>
    <t>Departamento 23 Contraloria</t>
  </si>
  <si>
    <t>Departamento 24 Promocion Economica</t>
  </si>
  <si>
    <t>ALTA EL 16 DE MARZO 2021</t>
  </si>
  <si>
    <t>DESCUENTO EN NOMINA</t>
  </si>
  <si>
    <t>NOMINA DE REGIDORES DEL 01  AL 15  DE ABRIL 2021</t>
  </si>
  <si>
    <t>NOMINA PERSONAL PERMANENTE DEL 01  AL 15 DE ABRIL 2021</t>
  </si>
  <si>
    <t>NOMINA PERSONAL PERMANENTE DE 01  AL 15 DE ABRIL   2021</t>
  </si>
  <si>
    <t>NOMINA PERSONAL PERMANENTE DEL 01 AL 15 ABRIL  2021</t>
  </si>
  <si>
    <t>NOMINA PERSONAL PERMANENTE DEL01 AL 15 DE ABRIL  2021</t>
  </si>
  <si>
    <t>NOMINA PERSONAL PERMANENTE DEL 01 AL 15  DE ABRIL DE   2021</t>
  </si>
  <si>
    <t>NOMINA PERSONAL PERMANENTE DEL 01 AL 15 DE MARZO  2021</t>
  </si>
  <si>
    <t>NOMINA PERSONAL PERMANENTE DEL 01 AL 15 DE ABRIL  2021</t>
  </si>
  <si>
    <t>NOMINA PERSONAL PERMANENTE DEL 01 AL 15  DE ABRIL  2021</t>
  </si>
  <si>
    <t>NOMINA  DEL 01 AL 15 DE ABRIL  2021</t>
  </si>
  <si>
    <t>NOMINA DEL 01  AL 15 DE ABRIL  DE 2021</t>
  </si>
  <si>
    <t>NOMINA DEL 01  AL 15 DE ABRIL DEL 2021</t>
  </si>
  <si>
    <t>NOMINA DE PENSIONADOS DEL 01 AL 15  DE ABRIL   2021</t>
  </si>
  <si>
    <t xml:space="preserve">                DEL 01 AL 15 DE ABRIL DEL 2021</t>
  </si>
  <si>
    <t>PAGO DEL MES DE ABRIL 2021</t>
  </si>
  <si>
    <t>H. Ayuntamiento de Hostotipaquillo Jal 2018-2021 Nomina Correspondiente al mes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</si>
</sst>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9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i/>
      <sz val="12"/>
      <color rgb="FFAC193D"/>
      <name val="Calibri"/>
      <family val="2"/>
      <scheme val="minor"/>
    </font>
    <font>
      <sz val="8"/>
      <color rgb="FFFF0000"/>
      <name val="Arial"/>
      <family val="2"/>
    </font>
    <font>
      <b/>
      <sz val="8"/>
      <color theme="4" tint="0.79998168889431442"/>
      <name val="Arial"/>
      <family val="2"/>
    </font>
    <font>
      <b/>
      <i/>
      <sz val="9"/>
      <color theme="4" tint="0.79998168889431442"/>
      <name val="Arial"/>
      <family val="2"/>
    </font>
    <font>
      <b/>
      <sz val="9"/>
      <color theme="4" tint="0.79998168889431442"/>
      <name val="Cooper Black"/>
      <family val="1"/>
    </font>
    <font>
      <b/>
      <sz val="8"/>
      <color theme="4" tint="0.79998168889431442"/>
      <name val="Cooper Black"/>
      <family val="1"/>
    </font>
    <font>
      <b/>
      <sz val="9"/>
      <color theme="4" tint="0.79998168889431442"/>
      <name val="Arial Black"/>
      <family val="2"/>
    </font>
    <font>
      <b/>
      <sz val="9"/>
      <color theme="4" tint="0.79998168889431442"/>
      <name val="Arial"/>
      <family val="2"/>
    </font>
    <font>
      <b/>
      <i/>
      <sz val="9"/>
      <color theme="4" tint="0.79998168889431442"/>
      <name val="Arial Black"/>
      <family val="2"/>
    </font>
    <font>
      <b/>
      <sz val="8"/>
      <color theme="4" tint="0.79998168889431442"/>
      <name val="Arial Black"/>
      <family val="2"/>
    </font>
    <font>
      <b/>
      <i/>
      <sz val="8"/>
      <color theme="4" tint="0.79998168889431442"/>
      <name val="Arial Black"/>
      <family val="2"/>
    </font>
    <font>
      <sz val="10"/>
      <color theme="4" tint="0.79998168889431442"/>
      <name val="Aharoni"/>
      <charset val="177"/>
    </font>
    <font>
      <b/>
      <sz val="10"/>
      <color theme="4" tint="0.79998168889431442"/>
      <name val="Aharoni"/>
      <charset val="177"/>
    </font>
    <font>
      <sz val="11"/>
      <color theme="4" tint="0.79998168889431442"/>
      <name val="Calibri"/>
      <family val="2"/>
      <scheme val="minor"/>
    </font>
    <font>
      <sz val="14"/>
      <color theme="4" tint="0.79998168889431442"/>
      <name val="Arial"/>
      <family val="2"/>
    </font>
    <font>
      <b/>
      <sz val="8"/>
      <color theme="0" tint="-4.9989318521683403E-2"/>
      <name val="Arial"/>
      <family val="2"/>
    </font>
    <font>
      <b/>
      <sz val="8"/>
      <color theme="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5658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9E9C"/>
        <bgColor indexed="64"/>
      </patternFill>
    </fill>
  </fills>
  <borders count="49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FD"/>
      </left>
      <right/>
      <top/>
      <bottom style="thin">
        <color indexed="64"/>
      </bottom>
      <diagonal/>
    </border>
    <border>
      <left style="thin">
        <color rgb="FF0000FD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FD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16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19" fillId="2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0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2" borderId="0" xfId="0" applyFont="1" applyFill="1" applyAlignment="1">
      <alignment vertical="center"/>
    </xf>
    <xf numFmtId="44" fontId="17" fillId="2" borderId="0" xfId="2" applyFont="1" applyFill="1" applyAlignment="1">
      <alignment vertical="center"/>
    </xf>
    <xf numFmtId="0" fontId="17" fillId="2" borderId="15" xfId="0" applyFont="1" applyFill="1" applyBorder="1" applyAlignment="1">
      <alignment vertical="center"/>
    </xf>
    <xf numFmtId="12" fontId="13" fillId="2" borderId="5" xfId="0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44" fontId="13" fillId="2" borderId="5" xfId="0" applyNumberFormat="1" applyFont="1" applyFill="1" applyBorder="1" applyAlignment="1">
      <alignment vertical="center"/>
    </xf>
    <xf numFmtId="44" fontId="13" fillId="2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2" borderId="9" xfId="2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44" fontId="13" fillId="2" borderId="0" xfId="2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2" borderId="8" xfId="1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44" fontId="20" fillId="0" borderId="5" xfId="0" applyNumberFormat="1" applyFont="1" applyBorder="1" applyAlignment="1">
      <alignment vertical="center"/>
    </xf>
    <xf numFmtId="12" fontId="13" fillId="2" borderId="7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44" fontId="13" fillId="2" borderId="7" xfId="0" applyNumberFormat="1" applyFont="1" applyFill="1" applyBorder="1" applyAlignment="1">
      <alignment vertical="center"/>
    </xf>
    <xf numFmtId="44" fontId="20" fillId="2" borderId="7" xfId="2" applyFont="1" applyFill="1" applyBorder="1" applyAlignment="1">
      <alignment vertical="center"/>
    </xf>
    <xf numFmtId="44" fontId="13" fillId="2" borderId="7" xfId="2" applyFont="1" applyFill="1" applyBorder="1" applyAlignment="1">
      <alignment vertical="center"/>
    </xf>
    <xf numFmtId="43" fontId="13" fillId="2" borderId="5" xfId="0" applyNumberFormat="1" applyFont="1" applyFill="1" applyBorder="1" applyAlignment="1">
      <alignment vertical="center"/>
    </xf>
    <xf numFmtId="44" fontId="20" fillId="2" borderId="5" xfId="0" applyNumberFormat="1" applyFont="1" applyFill="1" applyBorder="1" applyAlignment="1">
      <alignment vertical="center"/>
    </xf>
    <xf numFmtId="43" fontId="13" fillId="2" borderId="7" xfId="0" applyNumberFormat="1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44" fontId="21" fillId="2" borderId="0" xfId="2" applyFont="1" applyFill="1" applyAlignment="1">
      <alignment horizontal="center" vertical="center"/>
    </xf>
    <xf numFmtId="44" fontId="17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44" fontId="23" fillId="2" borderId="0" xfId="2" applyFont="1" applyFill="1" applyBorder="1" applyAlignment="1">
      <alignment vertical="center"/>
    </xf>
    <xf numFmtId="44" fontId="10" fillId="2" borderId="0" xfId="2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40" fillId="0" borderId="13" xfId="0" applyFont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1" fillId="0" borderId="8" xfId="0" applyNumberFormat="1" applyFont="1" applyBorder="1" applyAlignment="1">
      <alignment vertical="center"/>
    </xf>
    <xf numFmtId="2" fontId="31" fillId="0" borderId="0" xfId="0" applyNumberFormat="1" applyFont="1" applyAlignment="1">
      <alignment vertical="center"/>
    </xf>
    <xf numFmtId="4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2" fontId="41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8" fillId="2" borderId="0" xfId="0" applyNumberFormat="1" applyFont="1" applyFill="1" applyAlignment="1">
      <alignment vertical="center"/>
    </xf>
    <xf numFmtId="44" fontId="42" fillId="0" borderId="0" xfId="2" applyFont="1" applyFill="1" applyBorder="1" applyAlignment="1">
      <alignment vertical="center"/>
    </xf>
    <xf numFmtId="44" fontId="42" fillId="0" borderId="0" xfId="0" applyNumberFormat="1" applyFont="1" applyAlignment="1">
      <alignment horizontal="center" vertical="center"/>
    </xf>
    <xf numFmtId="44" fontId="40" fillId="0" borderId="0" xfId="2" applyFont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7" fillId="0" borderId="0" xfId="0" applyFont="1" applyAlignment="1">
      <alignment vertical="center"/>
    </xf>
    <xf numFmtId="44" fontId="31" fillId="0" borderId="0" xfId="2" applyFont="1" applyAlignment="1">
      <alignment vertical="center"/>
    </xf>
    <xf numFmtId="0" fontId="31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8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3" borderId="0" xfId="2" applyFont="1" applyFill="1" applyAlignment="1">
      <alignment vertical="center"/>
    </xf>
    <xf numFmtId="44" fontId="0" fillId="2" borderId="0" xfId="2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7" borderId="0" xfId="0" applyNumberForma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7" fillId="3" borderId="0" xfId="2" applyFont="1" applyFill="1" applyAlignment="1">
      <alignment vertical="center"/>
    </xf>
    <xf numFmtId="44" fontId="0" fillId="3" borderId="0" xfId="2" applyFont="1" applyFill="1"/>
    <xf numFmtId="44" fontId="14" fillId="2" borderId="5" xfId="2" applyFont="1" applyFill="1" applyBorder="1"/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8" fillId="0" borderId="5" xfId="0" applyFont="1" applyBorder="1"/>
    <xf numFmtId="0" fontId="48" fillId="0" borderId="7" xfId="0" applyFont="1" applyBorder="1"/>
    <xf numFmtId="0" fontId="50" fillId="2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0" fillId="3" borderId="0" xfId="0" applyNumberFormat="1" applyFont="1" applyFill="1" applyAlignment="1">
      <alignment vertical="center"/>
    </xf>
    <xf numFmtId="0" fontId="25" fillId="0" borderId="0" xfId="0" applyFont="1"/>
    <xf numFmtId="0" fontId="26" fillId="0" borderId="0" xfId="0" applyFont="1"/>
    <xf numFmtId="44" fontId="26" fillId="0" borderId="0" xfId="2" applyFont="1" applyAlignment="1"/>
    <xf numFmtId="0" fontId="28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0" fillId="0" borderId="3" xfId="0" applyFont="1" applyBorder="1"/>
    <xf numFmtId="44" fontId="30" fillId="0" borderId="9" xfId="2" applyFont="1" applyBorder="1" applyAlignment="1">
      <alignment horizontal="center"/>
    </xf>
    <xf numFmtId="0" fontId="10" fillId="0" borderId="10" xfId="0" applyFont="1" applyBorder="1"/>
    <xf numFmtId="0" fontId="30" fillId="0" borderId="10" xfId="0" applyFont="1" applyBorder="1"/>
    <xf numFmtId="0" fontId="37" fillId="0" borderId="0" xfId="0" applyFont="1"/>
    <xf numFmtId="0" fontId="31" fillId="0" borderId="0" xfId="0" applyFont="1"/>
    <xf numFmtId="44" fontId="31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5" fillId="0" borderId="5" xfId="0" applyFont="1" applyBorder="1"/>
    <xf numFmtId="0" fontId="56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5" fillId="0" borderId="0" xfId="0" applyFont="1"/>
    <xf numFmtId="0" fontId="56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0" fontId="1" fillId="0" borderId="33" xfId="0" applyFont="1" applyBorder="1" applyAlignment="1">
      <alignment vertical="center"/>
    </xf>
    <xf numFmtId="43" fontId="31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4" borderId="5" xfId="2" applyFont="1" applyFill="1" applyBorder="1"/>
    <xf numFmtId="44" fontId="0" fillId="4" borderId="0" xfId="0" applyNumberFormat="1" applyFill="1"/>
    <xf numFmtId="0" fontId="0" fillId="8" borderId="5" xfId="0" applyFill="1" applyBorder="1"/>
    <xf numFmtId="8" fontId="0" fillId="0" borderId="0" xfId="2" applyNumberFormat="1" applyFont="1" applyBorder="1"/>
    <xf numFmtId="44" fontId="0" fillId="4" borderId="0" xfId="2" applyFont="1" applyFill="1" applyBorder="1"/>
    <xf numFmtId="44" fontId="58" fillId="0" borderId="0" xfId="0" applyNumberFormat="1" applyFont="1"/>
    <xf numFmtId="0" fontId="58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9" borderId="17" xfId="0" applyNumberFormat="1" applyFill="1" applyBorder="1"/>
    <xf numFmtId="0" fontId="58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59" fillId="0" borderId="0" xfId="0" applyFont="1" applyAlignment="1">
      <alignment horizontal="center"/>
    </xf>
    <xf numFmtId="0" fontId="59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43" fontId="0" fillId="2" borderId="0" xfId="1" applyFont="1" applyFill="1" applyBorder="1"/>
    <xf numFmtId="0" fontId="0" fillId="0" borderId="6" xfId="0" applyBorder="1"/>
    <xf numFmtId="44" fontId="0" fillId="2" borderId="6" xfId="1" applyNumberFormat="1" applyFont="1" applyFill="1" applyBorder="1"/>
    <xf numFmtId="2" fontId="31" fillId="3" borderId="0" xfId="0" applyNumberFormat="1" applyFont="1" applyFill="1" applyAlignment="1">
      <alignment vertical="center"/>
    </xf>
    <xf numFmtId="43" fontId="31" fillId="3" borderId="0" xfId="1" applyFont="1" applyFill="1" applyAlignment="1">
      <alignment vertical="center"/>
    </xf>
    <xf numFmtId="0" fontId="58" fillId="0" borderId="0" xfId="0" applyFont="1" applyAlignment="1">
      <alignment horizontal="center"/>
    </xf>
    <xf numFmtId="43" fontId="0" fillId="0" borderId="0" xfId="0" applyNumberFormat="1"/>
    <xf numFmtId="0" fontId="51" fillId="0" borderId="0" xfId="0" applyFont="1" applyAlignment="1">
      <alignment horizontal="center"/>
    </xf>
    <xf numFmtId="0" fontId="48" fillId="0" borderId="5" xfId="0" applyFont="1" applyBorder="1" applyAlignment="1">
      <alignment horizontal="center"/>
    </xf>
    <xf numFmtId="44" fontId="0" fillId="10" borderId="5" xfId="2" applyFont="1" applyFill="1" applyBorder="1"/>
    <xf numFmtId="0" fontId="1" fillId="0" borderId="5" xfId="0" applyFont="1" applyBorder="1"/>
    <xf numFmtId="0" fontId="21" fillId="0" borderId="4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4" fontId="10" fillId="3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0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2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2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9" xfId="0" applyBorder="1"/>
    <xf numFmtId="0" fontId="0" fillId="0" borderId="2" xfId="0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44" fontId="1" fillId="11" borderId="0" xfId="2" applyFont="1" applyFill="1" applyAlignment="1">
      <alignment vertical="center"/>
    </xf>
    <xf numFmtId="43" fontId="0" fillId="0" borderId="5" xfId="1" applyFont="1" applyBorder="1"/>
    <xf numFmtId="43" fontId="59" fillId="0" borderId="0" xfId="1" applyFont="1"/>
    <xf numFmtId="43" fontId="0" fillId="0" borderId="5" xfId="1" applyFont="1" applyFill="1" applyBorder="1"/>
    <xf numFmtId="43" fontId="0" fillId="0" borderId="0" xfId="1" applyFont="1" applyBorder="1"/>
    <xf numFmtId="43" fontId="0" fillId="0" borderId="6" xfId="1" applyFont="1" applyBorder="1"/>
    <xf numFmtId="0" fontId="60" fillId="5" borderId="0" xfId="0" applyFont="1" applyFill="1" applyAlignment="1">
      <alignment horizontal="center" vertical="center"/>
    </xf>
    <xf numFmtId="44" fontId="1" fillId="2" borderId="7" xfId="2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165" fontId="0" fillId="0" borderId="0" xfId="0" applyNumberFormat="1"/>
    <xf numFmtId="0" fontId="62" fillId="2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2" borderId="14" xfId="0" applyNumberFormat="1" applyFont="1" applyFill="1" applyBorder="1"/>
    <xf numFmtId="0" fontId="10" fillId="0" borderId="5" xfId="0" applyFont="1" applyBorder="1"/>
    <xf numFmtId="0" fontId="35" fillId="0" borderId="5" xfId="0" applyFont="1" applyBorder="1"/>
    <xf numFmtId="0" fontId="34" fillId="0" borderId="5" xfId="0" applyFont="1" applyBorder="1"/>
    <xf numFmtId="0" fontId="35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3" borderId="17" xfId="0" applyNumberFormat="1" applyFont="1" applyFill="1" applyBorder="1"/>
    <xf numFmtId="44" fontId="15" fillId="3" borderId="24" xfId="0" applyNumberFormat="1" applyFont="1" applyFill="1" applyBorder="1"/>
    <xf numFmtId="44" fontId="14" fillId="12" borderId="9" xfId="0" applyNumberFormat="1" applyFont="1" applyFill="1" applyBorder="1"/>
    <xf numFmtId="44" fontId="14" fillId="12" borderId="13" xfId="0" applyNumberFormat="1" applyFont="1" applyFill="1" applyBorder="1"/>
    <xf numFmtId="0" fontId="26" fillId="0" borderId="19" xfId="0" applyFont="1" applyBorder="1"/>
    <xf numFmtId="0" fontId="1" fillId="0" borderId="0" xfId="0" applyFont="1" applyAlignment="1">
      <alignment vertical="center" wrapText="1"/>
    </xf>
    <xf numFmtId="164" fontId="38" fillId="0" borderId="5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1" fillId="0" borderId="5" xfId="0" applyNumberFormat="1" applyFont="1" applyBorder="1" applyAlignment="1">
      <alignment vertical="center"/>
    </xf>
    <xf numFmtId="44" fontId="0" fillId="13" borderId="0" xfId="0" applyNumberFormat="1" applyFill="1"/>
    <xf numFmtId="43" fontId="0" fillId="0" borderId="34" xfId="0" applyNumberFormat="1" applyBorder="1"/>
    <xf numFmtId="43" fontId="0" fillId="4" borderId="0" xfId="1" applyFont="1" applyFill="1"/>
    <xf numFmtId="43" fontId="64" fillId="0" borderId="5" xfId="1" applyFont="1" applyBorder="1" applyAlignment="1">
      <alignment horizontal="left" vertical="center"/>
    </xf>
    <xf numFmtId="43" fontId="65" fillId="0" borderId="5" xfId="1" applyFont="1" applyFill="1" applyBorder="1" applyAlignment="1">
      <alignment vertical="center"/>
    </xf>
    <xf numFmtId="43" fontId="65" fillId="0" borderId="5" xfId="1" applyFont="1" applyFill="1" applyBorder="1" applyAlignment="1">
      <alignment horizontal="center" vertical="center"/>
    </xf>
    <xf numFmtId="43" fontId="64" fillId="0" borderId="0" xfId="1" applyFont="1" applyBorder="1" applyAlignment="1">
      <alignment horizontal="left" vertical="center"/>
    </xf>
    <xf numFmtId="43" fontId="65" fillId="0" borderId="6" xfId="1" applyFont="1" applyFill="1" applyBorder="1" applyAlignment="1">
      <alignment horizontal="right" vertical="center"/>
    </xf>
    <xf numFmtId="43" fontId="65" fillId="0" borderId="0" xfId="1" applyFont="1" applyFill="1" applyBorder="1" applyAlignment="1">
      <alignment vertical="center"/>
    </xf>
    <xf numFmtId="43" fontId="65" fillId="0" borderId="0" xfId="1" applyFont="1" applyFill="1" applyAlignment="1">
      <alignment vertical="center"/>
    </xf>
    <xf numFmtId="43" fontId="65" fillId="0" borderId="4" xfId="1" applyFont="1" applyFill="1" applyBorder="1" applyAlignment="1">
      <alignment vertical="center"/>
    </xf>
    <xf numFmtId="43" fontId="65" fillId="0" borderId="6" xfId="1" applyFont="1" applyBorder="1" applyAlignment="1">
      <alignment horizontal="right" vertical="center"/>
    </xf>
    <xf numFmtId="43" fontId="65" fillId="0" borderId="0" xfId="1" applyFont="1" applyAlignment="1">
      <alignment vertical="center"/>
    </xf>
    <xf numFmtId="43" fontId="65" fillId="0" borderId="0" xfId="1" applyFont="1" applyBorder="1" applyAlignment="1">
      <alignment vertical="center"/>
    </xf>
    <xf numFmtId="43" fontId="65" fillId="0" borderId="5" xfId="1" applyFont="1" applyBorder="1" applyAlignment="1">
      <alignment horizontal="center" vertical="center"/>
    </xf>
    <xf numFmtId="43" fontId="65" fillId="0" borderId="0" xfId="1" applyFont="1" applyFill="1" applyBorder="1" applyAlignment="1">
      <alignment horizontal="center" vertical="center" wrapText="1"/>
    </xf>
    <xf numFmtId="43" fontId="65" fillId="0" borderId="5" xfId="1" applyFont="1" applyFill="1" applyBorder="1" applyAlignment="1">
      <alignment horizontal="center"/>
    </xf>
    <xf numFmtId="43" fontId="66" fillId="0" borderId="0" xfId="1" applyFont="1" applyFill="1" applyBorder="1"/>
    <xf numFmtId="43" fontId="67" fillId="0" borderId="0" xfId="1" applyFont="1" applyBorder="1" applyAlignment="1">
      <alignment horizontal="center" vertical="center"/>
    </xf>
    <xf numFmtId="43" fontId="65" fillId="0" borderId="4" xfId="1" applyFont="1" applyBorder="1" applyAlignment="1">
      <alignment horizontal="center" vertical="center"/>
    </xf>
    <xf numFmtId="43" fontId="68" fillId="0" borderId="5" xfId="1" applyFont="1" applyFill="1" applyBorder="1" applyAlignment="1">
      <alignment vertical="center"/>
    </xf>
    <xf numFmtId="43" fontId="68" fillId="2" borderId="5" xfId="1" applyFont="1" applyFill="1" applyBorder="1" applyAlignment="1">
      <alignment vertical="center"/>
    </xf>
    <xf numFmtId="43" fontId="68" fillId="0" borderId="7" xfId="1" applyFont="1" applyFill="1" applyBorder="1" applyAlignment="1">
      <alignment vertical="center"/>
    </xf>
    <xf numFmtId="43" fontId="69" fillId="0" borderId="5" xfId="1" applyFont="1" applyFill="1" applyBorder="1" applyAlignment="1">
      <alignment vertical="center"/>
    </xf>
    <xf numFmtId="43" fontId="70" fillId="0" borderId="0" xfId="1" applyFont="1" applyBorder="1" applyAlignment="1">
      <alignment vertical="center"/>
    </xf>
    <xf numFmtId="43" fontId="70" fillId="0" borderId="4" xfId="1" applyFont="1" applyBorder="1" applyAlignment="1">
      <alignment vertical="center"/>
    </xf>
    <xf numFmtId="43" fontId="71" fillId="0" borderId="0" xfId="1" applyFont="1" applyAlignment="1">
      <alignment vertical="center"/>
    </xf>
    <xf numFmtId="43" fontId="72" fillId="0" borderId="0" xfId="1" applyFont="1" applyAlignment="1">
      <alignment horizontal="center" vertical="center"/>
    </xf>
    <xf numFmtId="43" fontId="70" fillId="0" borderId="0" xfId="1" applyFont="1" applyAlignment="1">
      <alignment vertical="center"/>
    </xf>
    <xf numFmtId="43" fontId="68" fillId="0" borderId="5" xfId="1" applyFont="1" applyBorder="1" applyAlignment="1">
      <alignment vertical="center"/>
    </xf>
    <xf numFmtId="43" fontId="68" fillId="0" borderId="7" xfId="1" applyFont="1" applyBorder="1" applyAlignment="1">
      <alignment vertical="center"/>
    </xf>
    <xf numFmtId="43" fontId="70" fillId="0" borderId="5" xfId="1" applyFont="1" applyBorder="1" applyAlignment="1">
      <alignment vertical="center"/>
    </xf>
    <xf numFmtId="43" fontId="73" fillId="0" borderId="0" xfId="1" applyFont="1" applyBorder="1" applyAlignment="1">
      <alignment horizontal="center" vertical="center"/>
    </xf>
    <xf numFmtId="43" fontId="64" fillId="0" borderId="0" xfId="1" applyFont="1" applyBorder="1" applyAlignment="1">
      <alignment vertical="center"/>
    </xf>
    <xf numFmtId="0" fontId="74" fillId="0" borderId="2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4" xfId="0" applyFont="1" applyBorder="1" applyAlignment="1">
      <alignment vertical="center"/>
    </xf>
    <xf numFmtId="0" fontId="74" fillId="2" borderId="0" xfId="0" applyFont="1" applyFill="1" applyAlignment="1">
      <alignment vertical="center"/>
    </xf>
    <xf numFmtId="44" fontId="69" fillId="2" borderId="5" xfId="0" applyNumberFormat="1" applyFont="1" applyFill="1" applyBorder="1" applyAlignment="1">
      <alignment vertical="center"/>
    </xf>
    <xf numFmtId="44" fontId="69" fillId="0" borderId="5" xfId="0" applyNumberFormat="1" applyFont="1" applyBorder="1" applyAlignment="1">
      <alignment vertical="center"/>
    </xf>
    <xf numFmtId="44" fontId="69" fillId="2" borderId="7" xfId="0" applyNumberFormat="1" applyFont="1" applyFill="1" applyBorder="1" applyAlignment="1">
      <alignment vertical="center"/>
    </xf>
    <xf numFmtId="43" fontId="69" fillId="2" borderId="5" xfId="0" applyNumberFormat="1" applyFont="1" applyFill="1" applyBorder="1" applyAlignment="1">
      <alignment vertical="center"/>
    </xf>
    <xf numFmtId="43" fontId="69" fillId="2" borderId="7" xfId="0" applyNumberFormat="1" applyFont="1" applyFill="1" applyBorder="1" applyAlignment="1">
      <alignment vertical="center"/>
    </xf>
    <xf numFmtId="0" fontId="73" fillId="2" borderId="0" xfId="0" applyFont="1" applyFill="1" applyAlignment="1">
      <alignment horizontal="center" vertical="center"/>
    </xf>
    <xf numFmtId="43" fontId="75" fillId="0" borderId="0" xfId="1" applyFont="1"/>
    <xf numFmtId="43" fontId="76" fillId="0" borderId="0" xfId="1" applyFont="1"/>
    <xf numFmtId="43" fontId="75" fillId="0" borderId="5" xfId="1" applyFont="1" applyBorder="1"/>
    <xf numFmtId="43" fontId="75" fillId="0" borderId="5" xfId="1" applyFont="1" applyFill="1" applyBorder="1"/>
    <xf numFmtId="43" fontId="75" fillId="0" borderId="0" xfId="1" applyFont="1" applyBorder="1"/>
    <xf numFmtId="43" fontId="75" fillId="0" borderId="6" xfId="1" applyFont="1" applyBorder="1"/>
    <xf numFmtId="0" fontId="13" fillId="0" borderId="5" xfId="0" applyFont="1" applyBorder="1" applyAlignment="1">
      <alignment horizontal="center" vertical="center"/>
    </xf>
    <xf numFmtId="0" fontId="47" fillId="0" borderId="5" xfId="0" applyFont="1" applyBorder="1" applyAlignment="1">
      <alignment vertical="center"/>
    </xf>
    <xf numFmtId="49" fontId="38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vertical="center"/>
    </xf>
    <xf numFmtId="164" fontId="38" fillId="0" borderId="9" xfId="0" applyNumberFormat="1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77" fillId="0" borderId="0" xfId="0" applyFont="1" applyAlignment="1">
      <alignment vertical="center"/>
    </xf>
    <xf numFmtId="44" fontId="77" fillId="0" borderId="0" xfId="2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/>
    <xf numFmtId="12" fontId="13" fillId="0" borderId="0" xfId="0" applyNumberFormat="1" applyFont="1" applyAlignment="1">
      <alignment horizontal="left"/>
    </xf>
    <xf numFmtId="43" fontId="15" fillId="6" borderId="0" xfId="1" applyFont="1" applyFill="1" applyBorder="1"/>
    <xf numFmtId="44" fontId="14" fillId="0" borderId="0" xfId="2" applyFont="1" applyBorder="1"/>
    <xf numFmtId="0" fontId="13" fillId="2" borderId="43" xfId="0" applyFont="1" applyFill="1" applyBorder="1"/>
    <xf numFmtId="0" fontId="13" fillId="0" borderId="43" xfId="0" applyFont="1" applyBorder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/>
    </xf>
    <xf numFmtId="44" fontId="14" fillId="2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2" borderId="43" xfId="2" applyFont="1" applyFill="1" applyBorder="1"/>
    <xf numFmtId="44" fontId="15" fillId="6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3" borderId="44" xfId="0" applyNumberFormat="1" applyFont="1" applyFill="1" applyBorder="1"/>
    <xf numFmtId="44" fontId="15" fillId="3" borderId="6" xfId="0" applyNumberFormat="1" applyFont="1" applyFill="1" applyBorder="1"/>
    <xf numFmtId="43" fontId="1" fillId="0" borderId="5" xfId="1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27" fillId="14" borderId="5" xfId="0" applyFont="1" applyFill="1" applyBorder="1" applyAlignment="1">
      <alignment horizontal="center"/>
    </xf>
    <xf numFmtId="0" fontId="27" fillId="14" borderId="7" xfId="0" applyFont="1" applyFill="1" applyBorder="1" applyAlignment="1">
      <alignment horizontal="center"/>
    </xf>
    <xf numFmtId="0" fontId="54" fillId="14" borderId="8" xfId="0" applyFont="1" applyFill="1" applyBorder="1" applyAlignment="1">
      <alignment horizontal="center"/>
    </xf>
    <xf numFmtId="0" fontId="32" fillId="14" borderId="19" xfId="0" applyFont="1" applyFill="1" applyBorder="1"/>
    <xf numFmtId="0" fontId="32" fillId="14" borderId="8" xfId="0" applyFont="1" applyFill="1" applyBorder="1"/>
    <xf numFmtId="0" fontId="36" fillId="14" borderId="14" xfId="0" applyFont="1" applyFill="1" applyBorder="1"/>
    <xf numFmtId="0" fontId="32" fillId="14" borderId="4" xfId="0" applyFont="1" applyFill="1" applyBorder="1"/>
    <xf numFmtId="0" fontId="32" fillId="14" borderId="19" xfId="0" applyFont="1" applyFill="1" applyBorder="1" applyAlignment="1">
      <alignment horizontal="center"/>
    </xf>
    <xf numFmtId="0" fontId="61" fillId="14" borderId="8" xfId="0" applyFont="1" applyFill="1" applyBorder="1" applyAlignment="1">
      <alignment horizontal="center"/>
    </xf>
    <xf numFmtId="44" fontId="32" fillId="14" borderId="14" xfId="2" applyFont="1" applyFill="1" applyBorder="1"/>
    <xf numFmtId="0" fontId="32" fillId="14" borderId="3" xfId="0" applyFont="1" applyFill="1" applyBorder="1"/>
    <xf numFmtId="0" fontId="32" fillId="14" borderId="10" xfId="0" applyFont="1" applyFill="1" applyBorder="1" applyAlignment="1">
      <alignment horizontal="center"/>
    </xf>
    <xf numFmtId="0" fontId="61" fillId="14" borderId="5" xfId="0" applyFont="1" applyFill="1" applyBorder="1" applyAlignment="1">
      <alignment horizontal="center"/>
    </xf>
    <xf numFmtId="44" fontId="32" fillId="14" borderId="9" xfId="2" applyFont="1" applyFill="1" applyBorder="1" applyAlignment="1"/>
    <xf numFmtId="0" fontId="30" fillId="14" borderId="10" xfId="0" applyFont="1" applyFill="1" applyBorder="1"/>
    <xf numFmtId="0" fontId="13" fillId="0" borderId="5" xfId="0" applyFont="1" applyBorder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4" fontId="14" fillId="0" borderId="7" xfId="2" applyFont="1" applyBorder="1"/>
    <xf numFmtId="0" fontId="31" fillId="13" borderId="0" xfId="0" applyFont="1" applyFill="1" applyAlignment="1">
      <alignment vertical="center"/>
    </xf>
    <xf numFmtId="43" fontId="0" fillId="11" borderId="5" xfId="1" applyFont="1" applyFill="1" applyBorder="1"/>
    <xf numFmtId="15" fontId="31" fillId="0" borderId="0" xfId="0" applyNumberFormat="1" applyFont="1" applyAlignment="1">
      <alignment vertical="center"/>
    </xf>
    <xf numFmtId="43" fontId="75" fillId="2" borderId="5" xfId="1" applyFont="1" applyFill="1" applyBorder="1"/>
    <xf numFmtId="43" fontId="0" fillId="2" borderId="5" xfId="1" applyFont="1" applyFill="1" applyBorder="1"/>
    <xf numFmtId="44" fontId="0" fillId="2" borderId="5" xfId="1" applyNumberFormat="1" applyFont="1" applyFill="1" applyBorder="1"/>
    <xf numFmtId="44" fontId="0" fillId="11" borderId="5" xfId="0" applyNumberFormat="1" applyFill="1" applyBorder="1"/>
    <xf numFmtId="44" fontId="0" fillId="4" borderId="5" xfId="0" applyNumberFormat="1" applyFill="1" applyBorder="1"/>
    <xf numFmtId="0" fontId="79" fillId="15" borderId="0" xfId="0" applyFont="1" applyFill="1" applyAlignment="1">
      <alignment vertical="center"/>
    </xf>
    <xf numFmtId="44" fontId="38" fillId="0" borderId="5" xfId="2" applyFont="1" applyFill="1" applyBorder="1" applyAlignment="1">
      <alignment vertical="center"/>
    </xf>
    <xf numFmtId="0" fontId="78" fillId="0" borderId="0" xfId="0" applyFont="1"/>
    <xf numFmtId="0" fontId="33" fillId="14" borderId="9" xfId="0" applyFont="1" applyFill="1" applyBorder="1"/>
    <xf numFmtId="49" fontId="44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4" fontId="0" fillId="0" borderId="0" xfId="2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164" fontId="38" fillId="0" borderId="0" xfId="0" applyNumberFormat="1" applyFont="1" applyAlignment="1">
      <alignment vertical="center"/>
    </xf>
    <xf numFmtId="164" fontId="38" fillId="16" borderId="5" xfId="0" applyNumberFormat="1" applyFont="1" applyFill="1" applyBorder="1" applyAlignment="1">
      <alignment vertical="center"/>
    </xf>
    <xf numFmtId="164" fontId="1" fillId="16" borderId="5" xfId="0" applyNumberFormat="1" applyFont="1" applyFill="1" applyBorder="1" applyAlignment="1">
      <alignment vertical="center"/>
    </xf>
    <xf numFmtId="164" fontId="1" fillId="3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7" fillId="11" borderId="0" xfId="0" applyFont="1" applyFill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1" applyFont="1" applyBorder="1" applyAlignment="1">
      <alignment vertical="center"/>
    </xf>
    <xf numFmtId="43" fontId="77" fillId="0" borderId="0" xfId="1" applyFont="1" applyFill="1" applyAlignment="1">
      <alignment vertical="center"/>
    </xf>
    <xf numFmtId="43" fontId="15" fillId="2" borderId="0" xfId="1" applyFont="1" applyFill="1" applyBorder="1" applyAlignment="1">
      <alignment vertical="center"/>
    </xf>
    <xf numFmtId="43" fontId="15" fillId="2" borderId="0" xfId="1" applyFont="1" applyFill="1" applyAlignment="1">
      <alignment vertical="center"/>
    </xf>
    <xf numFmtId="0" fontId="80" fillId="0" borderId="0" xfId="0" applyFont="1"/>
    <xf numFmtId="0" fontId="1" fillId="17" borderId="0" xfId="0" applyFont="1" applyFill="1" applyAlignment="1">
      <alignment vertical="center"/>
    </xf>
    <xf numFmtId="43" fontId="1" fillId="17" borderId="0" xfId="0" applyNumberFormat="1" applyFont="1" applyFill="1" applyAlignment="1">
      <alignment horizontal="right" vertical="center"/>
    </xf>
    <xf numFmtId="44" fontId="0" fillId="0" borderId="5" xfId="0" applyNumberFormat="1" applyBorder="1"/>
    <xf numFmtId="44" fontId="0" fillId="3" borderId="5" xfId="0" applyNumberFormat="1" applyFill="1" applyBorder="1"/>
    <xf numFmtId="0" fontId="0" fillId="0" borderId="5" xfId="0" applyBorder="1" applyAlignment="1">
      <alignment horizontal="center" wrapText="1"/>
    </xf>
    <xf numFmtId="9" fontId="0" fillId="0" borderId="5" xfId="0" applyNumberFormat="1" applyBorder="1" applyAlignment="1">
      <alignment horizontal="center" wrapText="1"/>
    </xf>
    <xf numFmtId="0" fontId="81" fillId="0" borderId="0" xfId="0" applyFont="1"/>
    <xf numFmtId="164" fontId="82" fillId="0" borderId="5" xfId="0" applyNumberFormat="1" applyFont="1" applyBorder="1" applyAlignment="1">
      <alignment horizontal="right" vertical="center"/>
    </xf>
    <xf numFmtId="44" fontId="20" fillId="0" borderId="5" xfId="2" applyFont="1" applyFill="1" applyBorder="1" applyAlignment="1">
      <alignment vertical="center"/>
    </xf>
    <xf numFmtId="44" fontId="20" fillId="0" borderId="7" xfId="2" applyFont="1" applyFill="1" applyBorder="1" applyAlignment="1">
      <alignment vertical="center"/>
    </xf>
    <xf numFmtId="0" fontId="83" fillId="18" borderId="28" xfId="0" applyFont="1" applyFill="1" applyBorder="1" applyAlignment="1">
      <alignment horizontal="center" vertical="center" wrapText="1"/>
    </xf>
    <xf numFmtId="0" fontId="83" fillId="18" borderId="29" xfId="0" applyFont="1" applyFill="1" applyBorder="1" applyAlignment="1">
      <alignment horizontal="center" vertical="center" wrapText="1"/>
    </xf>
    <xf numFmtId="0" fontId="83" fillId="18" borderId="5" xfId="0" applyFont="1" applyFill="1" applyBorder="1" applyAlignment="1">
      <alignment horizontal="center" vertical="center" wrapText="1"/>
    </xf>
    <xf numFmtId="43" fontId="83" fillId="18" borderId="5" xfId="1" applyFont="1" applyFill="1" applyBorder="1" applyAlignment="1">
      <alignment horizontal="center" vertical="center" wrapText="1"/>
    </xf>
    <xf numFmtId="0" fontId="83" fillId="18" borderId="1" xfId="0" applyFont="1" applyFill="1" applyBorder="1" applyAlignment="1">
      <alignment horizontal="center" vertical="center" wrapText="1"/>
    </xf>
    <xf numFmtId="43" fontId="83" fillId="18" borderId="1" xfId="1" applyFont="1" applyFill="1" applyBorder="1" applyAlignment="1">
      <alignment horizontal="center" vertical="center" wrapText="1"/>
    </xf>
    <xf numFmtId="0" fontId="83" fillId="18" borderId="23" xfId="0" applyFont="1" applyFill="1" applyBorder="1" applyAlignment="1">
      <alignment horizontal="center" vertical="center" wrapText="1"/>
    </xf>
    <xf numFmtId="0" fontId="84" fillId="18" borderId="15" xfId="0" applyFont="1" applyFill="1" applyBorder="1" applyAlignment="1">
      <alignment horizontal="center" vertical="center"/>
    </xf>
    <xf numFmtId="0" fontId="85" fillId="18" borderId="0" xfId="0" applyFont="1" applyFill="1" applyAlignment="1">
      <alignment horizontal="center" vertical="center"/>
    </xf>
    <xf numFmtId="0" fontId="86" fillId="18" borderId="0" xfId="0" applyFont="1" applyFill="1" applyAlignment="1">
      <alignment horizontal="center" vertical="center"/>
    </xf>
    <xf numFmtId="0" fontId="88" fillId="18" borderId="4" xfId="0" applyFont="1" applyFill="1" applyBorder="1" applyAlignment="1">
      <alignment vertical="center"/>
    </xf>
    <xf numFmtId="0" fontId="84" fillId="18" borderId="7" xfId="0" applyFont="1" applyFill="1" applyBorder="1" applyAlignment="1">
      <alignment vertical="center"/>
    </xf>
    <xf numFmtId="0" fontId="87" fillId="18" borderId="10" xfId="0" applyFont="1" applyFill="1" applyBorder="1" applyAlignment="1">
      <alignment vertical="center"/>
    </xf>
    <xf numFmtId="0" fontId="90" fillId="18" borderId="9" xfId="0" applyFont="1" applyFill="1" applyBorder="1" applyAlignment="1">
      <alignment vertical="center"/>
    </xf>
    <xf numFmtId="0" fontId="89" fillId="18" borderId="5" xfId="0" applyFont="1" applyFill="1" applyBorder="1" applyAlignment="1">
      <alignment vertical="center"/>
    </xf>
    <xf numFmtId="0" fontId="89" fillId="18" borderId="3" xfId="0" applyFont="1" applyFill="1" applyBorder="1" applyAlignment="1">
      <alignment vertical="center"/>
    </xf>
    <xf numFmtId="0" fontId="89" fillId="18" borderId="5" xfId="0" applyFont="1" applyFill="1" applyBorder="1" applyAlignment="1">
      <alignment horizontal="center" vertical="center"/>
    </xf>
    <xf numFmtId="0" fontId="89" fillId="18" borderId="10" xfId="0" applyFont="1" applyFill="1" applyBorder="1" applyAlignment="1">
      <alignment horizontal="center" vertical="center"/>
    </xf>
    <xf numFmtId="0" fontId="89" fillId="18" borderId="9" xfId="0" applyFont="1" applyFill="1" applyBorder="1" applyAlignment="1">
      <alignment horizontal="center" vertical="center"/>
    </xf>
    <xf numFmtId="0" fontId="89" fillId="18" borderId="9" xfId="0" applyFont="1" applyFill="1" applyBorder="1" applyAlignment="1">
      <alignment vertical="center"/>
    </xf>
    <xf numFmtId="0" fontId="89" fillId="18" borderId="10" xfId="0" applyFont="1" applyFill="1" applyBorder="1" applyAlignment="1">
      <alignment vertical="center"/>
    </xf>
    <xf numFmtId="0" fontId="87" fillId="18" borderId="3" xfId="0" applyFont="1" applyFill="1" applyBorder="1" applyAlignment="1">
      <alignment vertical="center"/>
    </xf>
    <xf numFmtId="0" fontId="84" fillId="18" borderId="8" xfId="0" applyFont="1" applyFill="1" applyBorder="1" applyAlignment="1">
      <alignment vertical="center"/>
    </xf>
    <xf numFmtId="0" fontId="89" fillId="18" borderId="19" xfId="0" applyFont="1" applyFill="1" applyBorder="1" applyAlignment="1">
      <alignment vertical="center"/>
    </xf>
    <xf numFmtId="0" fontId="89" fillId="18" borderId="8" xfId="0" applyFont="1" applyFill="1" applyBorder="1" applyAlignment="1">
      <alignment vertical="center"/>
    </xf>
    <xf numFmtId="0" fontId="91" fillId="18" borderId="14" xfId="0" applyFont="1" applyFill="1" applyBorder="1" applyAlignment="1">
      <alignment vertical="center"/>
    </xf>
    <xf numFmtId="0" fontId="89" fillId="18" borderId="4" xfId="0" applyFont="1" applyFill="1" applyBorder="1" applyAlignment="1">
      <alignment vertical="center"/>
    </xf>
    <xf numFmtId="0" fontId="89" fillId="18" borderId="8" xfId="0" applyFont="1" applyFill="1" applyBorder="1" applyAlignment="1">
      <alignment horizontal="center" vertical="center"/>
    </xf>
    <xf numFmtId="0" fontId="89" fillId="18" borderId="19" xfId="0" applyFont="1" applyFill="1" applyBorder="1" applyAlignment="1">
      <alignment horizontal="center" vertical="center"/>
    </xf>
    <xf numFmtId="0" fontId="89" fillId="18" borderId="14" xfId="0" applyFont="1" applyFill="1" applyBorder="1" applyAlignment="1">
      <alignment vertical="center"/>
    </xf>
    <xf numFmtId="43" fontId="90" fillId="18" borderId="9" xfId="1" applyFont="1" applyFill="1" applyBorder="1" applyAlignment="1">
      <alignment vertical="center"/>
    </xf>
    <xf numFmtId="43" fontId="91" fillId="18" borderId="14" xfId="1" applyFont="1" applyFill="1" applyBorder="1" applyAlignment="1">
      <alignment vertical="center"/>
    </xf>
    <xf numFmtId="0" fontId="92" fillId="18" borderId="15" xfId="0" applyFont="1" applyFill="1" applyBorder="1" applyAlignment="1">
      <alignment vertical="center"/>
    </xf>
    <xf numFmtId="0" fontId="92" fillId="18" borderId="0" xfId="0" applyFont="1" applyFill="1" applyAlignment="1">
      <alignment horizontal="center" vertical="center"/>
    </xf>
    <xf numFmtId="0" fontId="93" fillId="18" borderId="4" xfId="0" applyFont="1" applyFill="1" applyBorder="1" applyAlignment="1">
      <alignment horizontal="center" vertical="center"/>
    </xf>
    <xf numFmtId="44" fontId="92" fillId="18" borderId="8" xfId="2" applyFont="1" applyFill="1" applyBorder="1" applyAlignment="1">
      <alignment horizontal="center" vertical="center"/>
    </xf>
    <xf numFmtId="0" fontId="92" fillId="18" borderId="11" xfId="0" applyFont="1" applyFill="1" applyBorder="1" applyAlignment="1">
      <alignment vertical="center"/>
    </xf>
    <xf numFmtId="0" fontId="92" fillId="18" borderId="9" xfId="0" applyFont="1" applyFill="1" applyBorder="1" applyAlignment="1">
      <alignment horizontal="center" vertical="center"/>
    </xf>
    <xf numFmtId="0" fontId="92" fillId="18" borderId="3" xfId="0" applyFont="1" applyFill="1" applyBorder="1" applyAlignment="1">
      <alignment horizontal="center" vertical="center"/>
    </xf>
    <xf numFmtId="0" fontId="92" fillId="18" borderId="12" xfId="0" applyFont="1" applyFill="1" applyBorder="1" applyAlignment="1">
      <alignment vertical="center"/>
    </xf>
    <xf numFmtId="0" fontId="92" fillId="18" borderId="13" xfId="0" applyFont="1" applyFill="1" applyBorder="1" applyAlignment="1">
      <alignment vertical="center"/>
    </xf>
    <xf numFmtId="0" fontId="92" fillId="18" borderId="7" xfId="0" applyFont="1" applyFill="1" applyBorder="1" applyAlignment="1">
      <alignment vertical="center"/>
    </xf>
    <xf numFmtId="44" fontId="92" fillId="18" borderId="7" xfId="2" applyFont="1" applyFill="1" applyBorder="1" applyAlignment="1">
      <alignment vertical="center"/>
    </xf>
    <xf numFmtId="44" fontId="92" fillId="18" borderId="2" xfId="2" applyFont="1" applyFill="1" applyBorder="1" applyAlignment="1">
      <alignment vertical="center"/>
    </xf>
    <xf numFmtId="44" fontId="92" fillId="18" borderId="12" xfId="2" applyFont="1" applyFill="1" applyBorder="1" applyAlignment="1">
      <alignment vertical="center"/>
    </xf>
    <xf numFmtId="0" fontId="92" fillId="18" borderId="14" xfId="0" applyFont="1" applyFill="1" applyBorder="1" applyAlignment="1">
      <alignment vertical="center"/>
    </xf>
    <xf numFmtId="0" fontId="92" fillId="18" borderId="5" xfId="0" applyFont="1" applyFill="1" applyBorder="1" applyAlignment="1">
      <alignment vertical="center"/>
    </xf>
    <xf numFmtId="0" fontId="92" fillId="18" borderId="9" xfId="0" applyFont="1" applyFill="1" applyBorder="1" applyAlignment="1">
      <alignment vertical="center"/>
    </xf>
    <xf numFmtId="0" fontId="92" fillId="18" borderId="8" xfId="0" applyFont="1" applyFill="1" applyBorder="1" applyAlignment="1">
      <alignment vertical="center"/>
    </xf>
    <xf numFmtId="44" fontId="92" fillId="18" borderId="8" xfId="2" applyFont="1" applyFill="1" applyBorder="1" applyAlignment="1">
      <alignment vertical="center"/>
    </xf>
    <xf numFmtId="44" fontId="92" fillId="18" borderId="4" xfId="2" applyFont="1" applyFill="1" applyBorder="1" applyAlignment="1">
      <alignment vertical="center"/>
    </xf>
    <xf numFmtId="49" fontId="83" fillId="18" borderId="27" xfId="0" applyNumberFormat="1" applyFont="1" applyFill="1" applyBorder="1" applyAlignment="1">
      <alignment horizontal="center" vertical="center" wrapText="1"/>
    </xf>
    <xf numFmtId="0" fontId="83" fillId="18" borderId="45" xfId="0" applyFont="1" applyFill="1" applyBorder="1" applyAlignment="1">
      <alignment horizontal="center" vertical="center" wrapText="1"/>
    </xf>
    <xf numFmtId="0" fontId="83" fillId="18" borderId="19" xfId="0" applyFont="1" applyFill="1" applyBorder="1" applyAlignment="1">
      <alignment horizontal="center" vertical="center" wrapText="1"/>
    </xf>
    <xf numFmtId="0" fontId="94" fillId="18" borderId="5" xfId="0" applyFont="1" applyFill="1" applyBorder="1"/>
    <xf numFmtId="0" fontId="95" fillId="18" borderId="5" xfId="0" applyFont="1" applyFill="1" applyBorder="1" applyAlignment="1">
      <alignment horizontal="center"/>
    </xf>
    <xf numFmtId="43" fontId="95" fillId="18" borderId="5" xfId="1" applyFont="1" applyFill="1" applyBorder="1" applyAlignment="1">
      <alignment horizontal="center"/>
    </xf>
    <xf numFmtId="0" fontId="5" fillId="16" borderId="6" xfId="0" applyFont="1" applyFill="1" applyBorder="1" applyAlignment="1">
      <alignment horizontal="right" vertical="center"/>
    </xf>
    <xf numFmtId="164" fontId="12" fillId="16" borderId="6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vertical="center"/>
    </xf>
    <xf numFmtId="49" fontId="96" fillId="18" borderId="22" xfId="0" applyNumberFormat="1" applyFont="1" applyFill="1" applyBorder="1" applyAlignment="1">
      <alignment horizontal="center" vertical="center" wrapText="1"/>
    </xf>
    <xf numFmtId="49" fontId="96" fillId="18" borderId="5" xfId="0" applyNumberFormat="1" applyFont="1" applyFill="1" applyBorder="1" applyAlignment="1">
      <alignment horizontal="center" vertical="center" wrapText="1"/>
    </xf>
    <xf numFmtId="44" fontId="42" fillId="3" borderId="38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44" fontId="0" fillId="3" borderId="36" xfId="1" applyNumberFormat="1" applyFont="1" applyFill="1" applyBorder="1"/>
    <xf numFmtId="0" fontId="97" fillId="18" borderId="28" xfId="0" applyFont="1" applyFill="1" applyBorder="1" applyAlignment="1">
      <alignment horizontal="center" vertical="center" wrapText="1"/>
    </xf>
    <xf numFmtId="49" fontId="97" fillId="18" borderId="2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43" fontId="65" fillId="0" borderId="8" xfId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164" fontId="38" fillId="0" borderId="8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3" fontId="65" fillId="0" borderId="3" xfId="1" applyFont="1" applyFill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3" fontId="65" fillId="0" borderId="8" xfId="1" applyFont="1" applyFill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5" fillId="0" borderId="43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right" vertical="center"/>
    </xf>
    <xf numFmtId="43" fontId="65" fillId="0" borderId="43" xfId="1" applyFont="1" applyFill="1" applyBorder="1" applyAlignment="1">
      <alignment horizontal="right" vertical="center"/>
    </xf>
    <xf numFmtId="49" fontId="5" fillId="0" borderId="21" xfId="0" applyNumberFormat="1" applyFont="1" applyBorder="1" applyAlignment="1">
      <alignment vertical="center"/>
    </xf>
    <xf numFmtId="43" fontId="66" fillId="0" borderId="6" xfId="1" applyFont="1" applyFill="1" applyBorder="1"/>
    <xf numFmtId="164" fontId="12" fillId="3" borderId="43" xfId="0" applyNumberFormat="1" applyFont="1" applyFill="1" applyBorder="1" applyAlignment="1">
      <alignment horizontal="right" vertical="center"/>
    </xf>
    <xf numFmtId="43" fontId="12" fillId="3" borderId="6" xfId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43" fontId="5" fillId="3" borderId="0" xfId="0" applyNumberFormat="1" applyFont="1" applyFill="1" applyAlignment="1">
      <alignment vertical="center"/>
    </xf>
    <xf numFmtId="43" fontId="1" fillId="3" borderId="6" xfId="0" applyNumberFormat="1" applyFont="1" applyFill="1" applyBorder="1" applyAlignment="1">
      <alignment vertical="center"/>
    </xf>
    <xf numFmtId="164" fontId="1" fillId="16" borderId="43" xfId="0" applyNumberFormat="1" applyFont="1" applyFill="1" applyBorder="1" applyAlignment="1">
      <alignment vertical="center"/>
    </xf>
    <xf numFmtId="0" fontId="1" fillId="16" borderId="0" xfId="0" applyFont="1" applyFill="1" applyAlignment="1">
      <alignment horizontal="right" vertical="center"/>
    </xf>
    <xf numFmtId="0" fontId="1" fillId="16" borderId="6" xfId="0" applyFont="1" applyFill="1" applyBorder="1" applyAlignment="1">
      <alignment vertical="center"/>
    </xf>
    <xf numFmtId="43" fontId="65" fillId="16" borderId="6" xfId="1" applyFont="1" applyFill="1" applyBorder="1" applyAlignment="1">
      <alignment vertical="center"/>
    </xf>
    <xf numFmtId="164" fontId="5" fillId="16" borderId="21" xfId="0" applyNumberFormat="1" applyFont="1" applyFill="1" applyBorder="1" applyAlignment="1">
      <alignment vertical="center"/>
    </xf>
    <xf numFmtId="0" fontId="1" fillId="16" borderId="20" xfId="0" applyFont="1" applyFill="1" applyBorder="1" applyAlignment="1">
      <alignment vertical="center"/>
    </xf>
    <xf numFmtId="43" fontId="1" fillId="16" borderId="6" xfId="0" applyNumberFormat="1" applyFont="1" applyFill="1" applyBorder="1" applyAlignment="1">
      <alignment vertical="center"/>
    </xf>
    <xf numFmtId="43" fontId="1" fillId="16" borderId="6" xfId="1" applyFont="1" applyFill="1" applyBorder="1" applyAlignment="1">
      <alignment vertical="center"/>
    </xf>
    <xf numFmtId="0" fontId="1" fillId="16" borderId="48" xfId="0" applyFont="1" applyFill="1" applyBorder="1" applyAlignment="1">
      <alignment horizontal="right" vertical="center"/>
    </xf>
    <xf numFmtId="43" fontId="5" fillId="16" borderId="0" xfId="0" applyNumberFormat="1" applyFont="1" applyFill="1" applyAlignment="1">
      <alignment vertical="center"/>
    </xf>
    <xf numFmtId="43" fontId="1" fillId="16" borderId="0" xfId="0" applyNumberFormat="1" applyFont="1" applyFill="1" applyAlignment="1">
      <alignment vertical="center"/>
    </xf>
    <xf numFmtId="0" fontId="1" fillId="16" borderId="12" xfId="0" applyFont="1" applyFill="1" applyBorder="1" applyAlignment="1">
      <alignment horizontal="right" vertical="center"/>
    </xf>
    <xf numFmtId="164" fontId="5" fillId="16" borderId="6" xfId="0" applyNumberFormat="1" applyFont="1" applyFill="1" applyBorder="1" applyAlignment="1">
      <alignment horizontal="right" vertical="center"/>
    </xf>
    <xf numFmtId="0" fontId="1" fillId="16" borderId="20" xfId="0" applyFont="1" applyFill="1" applyBorder="1" applyAlignment="1">
      <alignment horizontal="right" vertical="center"/>
    </xf>
    <xf numFmtId="43" fontId="12" fillId="16" borderId="6" xfId="1" applyFont="1" applyFill="1" applyBorder="1" applyAlignment="1">
      <alignment horizontal="right" vertical="center"/>
    </xf>
    <xf numFmtId="164" fontId="1" fillId="16" borderId="20" xfId="0" applyNumberFormat="1" applyFont="1" applyFill="1" applyBorder="1" applyAlignment="1">
      <alignment horizontal="right" vertical="center"/>
    </xf>
    <xf numFmtId="49" fontId="5" fillId="16" borderId="43" xfId="0" applyNumberFormat="1" applyFont="1" applyFill="1" applyBorder="1" applyAlignment="1">
      <alignment horizontal="left" vertical="center"/>
    </xf>
    <xf numFmtId="0" fontId="1" fillId="16" borderId="43" xfId="0" applyFont="1" applyFill="1" applyBorder="1" applyAlignment="1">
      <alignment horizontal="right" vertical="center"/>
    </xf>
    <xf numFmtId="43" fontId="65" fillId="16" borderId="43" xfId="1" applyFont="1" applyFill="1" applyBorder="1" applyAlignment="1">
      <alignment horizontal="right" vertical="center"/>
    </xf>
    <xf numFmtId="164" fontId="12" fillId="16" borderId="43" xfId="0" applyNumberFormat="1" applyFont="1" applyFill="1" applyBorder="1" applyAlignment="1">
      <alignment horizontal="right" vertical="center"/>
    </xf>
    <xf numFmtId="0" fontId="5" fillId="16" borderId="34" xfId="0" applyFont="1" applyFill="1" applyBorder="1" applyAlignment="1">
      <alignment vertical="center"/>
    </xf>
    <xf numFmtId="44" fontId="42" fillId="16" borderId="38" xfId="2" applyFont="1" applyFill="1" applyBorder="1" applyAlignment="1">
      <alignment vertical="center"/>
    </xf>
    <xf numFmtId="44" fontId="10" fillId="16" borderId="38" xfId="0" applyNumberFormat="1" applyFont="1" applyFill="1" applyBorder="1" applyAlignment="1">
      <alignment vertical="center"/>
    </xf>
    <xf numFmtId="0" fontId="14" fillId="16" borderId="0" xfId="0" applyFont="1" applyFill="1" applyAlignment="1">
      <alignment vertical="center"/>
    </xf>
    <xf numFmtId="44" fontId="10" fillId="16" borderId="17" xfId="2" applyFont="1" applyFill="1" applyBorder="1" applyAlignment="1">
      <alignment vertical="center"/>
    </xf>
    <xf numFmtId="44" fontId="10" fillId="16" borderId="16" xfId="2" applyFont="1" applyFill="1" applyBorder="1" applyAlignment="1">
      <alignment vertical="center"/>
    </xf>
    <xf numFmtId="44" fontId="67" fillId="16" borderId="42" xfId="2" applyFont="1" applyFill="1" applyBorder="1" applyAlignment="1">
      <alignment vertical="center"/>
    </xf>
    <xf numFmtId="0" fontId="38" fillId="16" borderId="0" xfId="0" applyFont="1" applyFill="1" applyAlignment="1">
      <alignment vertical="center"/>
    </xf>
    <xf numFmtId="0" fontId="1" fillId="16" borderId="0" xfId="0" applyFont="1" applyFill="1" applyAlignment="1">
      <alignment vertical="center"/>
    </xf>
    <xf numFmtId="43" fontId="14" fillId="0" borderId="5" xfId="1" applyFont="1" applyFill="1" applyBorder="1"/>
    <xf numFmtId="43" fontId="14" fillId="0" borderId="7" xfId="1" applyFont="1" applyFill="1" applyBorder="1"/>
    <xf numFmtId="0" fontId="79" fillId="0" borderId="0" xfId="0" applyFont="1" applyAlignment="1">
      <alignment vertical="center"/>
    </xf>
    <xf numFmtId="44" fontId="38" fillId="11" borderId="5" xfId="2" applyFont="1" applyFill="1" applyBorder="1" applyAlignment="1">
      <alignment vertical="center"/>
    </xf>
    <xf numFmtId="0" fontId="0" fillId="6" borderId="0" xfId="0" applyFill="1" applyAlignment="1">
      <alignment horizontal="left"/>
    </xf>
    <xf numFmtId="0" fontId="1" fillId="19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1" fillId="20" borderId="0" xfId="0" applyFont="1" applyFill="1" applyAlignment="1">
      <alignment vertical="center"/>
    </xf>
    <xf numFmtId="164" fontId="1" fillId="11" borderId="5" xfId="0" applyNumberFormat="1" applyFont="1" applyFill="1" applyBorder="1" applyAlignment="1">
      <alignment vertical="center"/>
    </xf>
    <xf numFmtId="44" fontId="13" fillId="11" borderId="5" xfId="2" applyFont="1" applyFill="1" applyBorder="1" applyAlignment="1">
      <alignment vertical="center"/>
    </xf>
    <xf numFmtId="0" fontId="0" fillId="0" borderId="5" xfId="0" applyBorder="1" applyAlignment="1">
      <alignment wrapText="1"/>
    </xf>
    <xf numFmtId="43" fontId="70" fillId="0" borderId="5" xfId="1" applyFont="1" applyFill="1" applyBorder="1" applyAlignment="1">
      <alignment vertical="center"/>
    </xf>
    <xf numFmtId="43" fontId="13" fillId="0" borderId="5" xfId="0" applyNumberFormat="1" applyFont="1" applyBorder="1" applyAlignment="1">
      <alignment vertical="center"/>
    </xf>
    <xf numFmtId="43" fontId="69" fillId="0" borderId="5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3" fillId="0" borderId="43" xfId="0" applyFont="1" applyBorder="1" applyAlignment="1">
      <alignment wrapText="1"/>
    </xf>
    <xf numFmtId="12" fontId="13" fillId="0" borderId="43" xfId="0" applyNumberFormat="1" applyFont="1" applyBorder="1" applyAlignment="1">
      <alignment horizontal="left"/>
    </xf>
    <xf numFmtId="43" fontId="14" fillId="0" borderId="43" xfId="1" applyFont="1" applyFill="1" applyBorder="1"/>
    <xf numFmtId="44" fontId="14" fillId="0" borderId="43" xfId="2" applyFont="1" applyFill="1" applyBorder="1"/>
    <xf numFmtId="44" fontId="92" fillId="18" borderId="5" xfId="2" applyFont="1" applyFill="1" applyBorder="1" applyAlignment="1">
      <alignment vertical="center"/>
    </xf>
    <xf numFmtId="0" fontId="3" fillId="0" borderId="0" xfId="0" applyFont="1"/>
    <xf numFmtId="43" fontId="1" fillId="0" borderId="19" xfId="1" applyFont="1" applyFill="1" applyBorder="1" applyAlignment="1">
      <alignment vertical="center"/>
    </xf>
    <xf numFmtId="0" fontId="58" fillId="21" borderId="0" xfId="0" applyFont="1" applyFill="1" applyAlignment="1">
      <alignment horizontal="center"/>
    </xf>
    <xf numFmtId="0" fontId="0" fillId="21" borderId="8" xfId="0" applyFill="1" applyBorder="1" applyAlignment="1">
      <alignment horizontal="center"/>
    </xf>
    <xf numFmtId="43" fontId="75" fillId="21" borderId="8" xfId="1" applyFont="1" applyFill="1" applyBorder="1" applyAlignment="1">
      <alignment horizontal="center"/>
    </xf>
    <xf numFmtId="43" fontId="0" fillId="21" borderId="8" xfId="1" applyFont="1" applyFill="1" applyBorder="1" applyAlignment="1">
      <alignment horizontal="center"/>
    </xf>
    <xf numFmtId="44" fontId="0" fillId="21" borderId="8" xfId="1" applyNumberFormat="1" applyFont="1" applyFill="1" applyBorder="1"/>
    <xf numFmtId="0" fontId="58" fillId="21" borderId="36" xfId="0" applyFont="1" applyFill="1" applyBorder="1" applyAlignment="1">
      <alignment horizontal="center"/>
    </xf>
    <xf numFmtId="0" fontId="0" fillId="21" borderId="36" xfId="0" applyFill="1" applyBorder="1" applyAlignment="1">
      <alignment horizontal="center"/>
    </xf>
    <xf numFmtId="43" fontId="75" fillId="21" borderId="36" xfId="1" applyFont="1" applyFill="1" applyBorder="1" applyAlignment="1">
      <alignment horizontal="center"/>
    </xf>
    <xf numFmtId="43" fontId="0" fillId="21" borderId="36" xfId="1" applyFont="1" applyFill="1" applyBorder="1" applyAlignment="1">
      <alignment horizontal="center"/>
    </xf>
    <xf numFmtId="44" fontId="0" fillId="21" borderId="36" xfId="1" applyNumberFormat="1" applyFont="1" applyFill="1" applyBorder="1"/>
    <xf numFmtId="0" fontId="58" fillId="21" borderId="5" xfId="0" applyFont="1" applyFill="1" applyBorder="1" applyAlignment="1">
      <alignment horizontal="center"/>
    </xf>
    <xf numFmtId="0" fontId="0" fillId="21" borderId="5" xfId="0" applyFill="1" applyBorder="1" applyAlignment="1">
      <alignment horizontal="center"/>
    </xf>
    <xf numFmtId="43" fontId="75" fillId="21" borderId="5" xfId="1" applyFont="1" applyFill="1" applyBorder="1" applyAlignment="1">
      <alignment horizontal="center"/>
    </xf>
    <xf numFmtId="43" fontId="0" fillId="21" borderId="5" xfId="1" applyFont="1" applyFill="1" applyBorder="1" applyAlignment="1">
      <alignment horizontal="center"/>
    </xf>
    <xf numFmtId="44" fontId="0" fillId="21" borderId="5" xfId="1" applyNumberFormat="1" applyFont="1" applyFill="1" applyBorder="1"/>
    <xf numFmtId="164" fontId="12" fillId="16" borderId="43" xfId="1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7" fillId="18" borderId="46" xfId="0" applyFont="1" applyFill="1" applyBorder="1" applyAlignment="1">
      <alignment horizontal="center" vertical="center" wrapText="1"/>
    </xf>
    <xf numFmtId="0" fontId="97" fillId="18" borderId="4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2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left" vertical="center" wrapText="1"/>
    </xf>
    <xf numFmtId="49" fontId="5" fillId="0" borderId="40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49" fontId="5" fillId="16" borderId="21" xfId="0" applyNumberFormat="1" applyFont="1" applyFill="1" applyBorder="1" applyAlignment="1">
      <alignment horizontal="center" vertical="center"/>
    </xf>
    <xf numFmtId="49" fontId="5" fillId="16" borderId="6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3" fillId="0" borderId="5" xfId="0" applyNumberFormat="1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/>
    </xf>
    <xf numFmtId="0" fontId="87" fillId="18" borderId="14" xfId="0" applyFont="1" applyFill="1" applyBorder="1" applyAlignment="1">
      <alignment horizontal="center" vertical="center"/>
    </xf>
    <xf numFmtId="0" fontId="87" fillId="18" borderId="4" xfId="0" applyFont="1" applyFill="1" applyBorder="1" applyAlignment="1">
      <alignment horizontal="center" vertical="center"/>
    </xf>
    <xf numFmtId="0" fontId="87" fillId="18" borderId="19" xfId="0" applyFont="1" applyFill="1" applyBorder="1" applyAlignment="1">
      <alignment horizontal="center" vertical="center"/>
    </xf>
    <xf numFmtId="0" fontId="87" fillId="18" borderId="19" xfId="0" applyFont="1" applyFill="1" applyBorder="1" applyAlignment="1">
      <alignment vertical="center"/>
    </xf>
    <xf numFmtId="0" fontId="89" fillId="18" borderId="3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87" fillId="18" borderId="7" xfId="0" applyFont="1" applyFill="1" applyBorder="1" applyAlignment="1">
      <alignment horizontal="center" vertical="center"/>
    </xf>
    <xf numFmtId="0" fontId="87" fillId="18" borderId="15" xfId="0" applyFont="1" applyFill="1" applyBorder="1" applyAlignment="1">
      <alignment horizontal="center" vertical="center"/>
    </xf>
    <xf numFmtId="0" fontId="87" fillId="18" borderId="8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2" fillId="16" borderId="37" xfId="0" applyFont="1" applyFill="1" applyBorder="1" applyAlignment="1">
      <alignment horizontal="center" vertical="center"/>
    </xf>
    <xf numFmtId="0" fontId="22" fillId="16" borderId="34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89" fillId="18" borderId="15" xfId="0" applyFont="1" applyFill="1" applyBorder="1" applyAlignment="1">
      <alignment horizontal="center" vertical="center"/>
    </xf>
    <xf numFmtId="0" fontId="89" fillId="18" borderId="8" xfId="0" applyFont="1" applyFill="1" applyBorder="1" applyAlignment="1">
      <alignment horizontal="center" vertical="center"/>
    </xf>
    <xf numFmtId="0" fontId="89" fillId="18" borderId="9" xfId="0" applyFont="1" applyFill="1" applyBorder="1" applyAlignment="1">
      <alignment horizontal="center" vertical="center"/>
    </xf>
    <xf numFmtId="0" fontId="89" fillId="18" borderId="10" xfId="0" applyFont="1" applyFill="1" applyBorder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44" fontId="92" fillId="18" borderId="2" xfId="2" applyFont="1" applyFill="1" applyBorder="1" applyAlignment="1">
      <alignment horizontal="center" vertical="center"/>
    </xf>
    <xf numFmtId="44" fontId="92" fillId="18" borderId="0" xfId="2" applyFont="1" applyFill="1" applyBorder="1" applyAlignment="1">
      <alignment horizontal="center" vertical="center"/>
    </xf>
    <xf numFmtId="44" fontId="92" fillId="18" borderId="4" xfId="2" applyFont="1" applyFill="1" applyBorder="1" applyAlignment="1">
      <alignment horizontal="center" vertical="center"/>
    </xf>
    <xf numFmtId="0" fontId="10" fillId="16" borderId="25" xfId="0" applyFont="1" applyFill="1" applyBorder="1" applyAlignment="1">
      <alignment horizontal="right" vertical="center"/>
    </xf>
    <xf numFmtId="0" fontId="10" fillId="16" borderId="26" xfId="0" applyFont="1" applyFill="1" applyBorder="1" applyAlignment="1">
      <alignment horizontal="right" vertical="center"/>
    </xf>
    <xf numFmtId="0" fontId="10" fillId="16" borderId="24" xfId="0" applyFont="1" applyFill="1" applyBorder="1" applyAlignment="1">
      <alignment horizontal="right" vertical="center"/>
    </xf>
    <xf numFmtId="0" fontId="93" fillId="18" borderId="5" xfId="0" applyFont="1" applyFill="1" applyBorder="1" applyAlignment="1">
      <alignment horizontal="center" vertical="center"/>
    </xf>
    <xf numFmtId="0" fontId="93" fillId="18" borderId="3" xfId="0" applyFont="1" applyFill="1" applyBorder="1" applyAlignment="1">
      <alignment horizontal="center" vertical="center"/>
    </xf>
    <xf numFmtId="44" fontId="92" fillId="18" borderId="14" xfId="2" applyFont="1" applyFill="1" applyBorder="1" applyAlignment="1">
      <alignment horizontal="center" vertical="center"/>
    </xf>
    <xf numFmtId="44" fontId="92" fillId="18" borderId="19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0" fontId="5" fillId="16" borderId="5" xfId="0" applyFont="1" applyFill="1" applyBorder="1" applyAlignment="1">
      <alignment horizontal="right" vertical="center"/>
    </xf>
    <xf numFmtId="0" fontId="42" fillId="16" borderId="5" xfId="0" applyFont="1" applyFill="1" applyBorder="1" applyAlignment="1">
      <alignment horizontal="right" vertical="center"/>
    </xf>
    <xf numFmtId="0" fontId="38" fillId="0" borderId="9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83" fillId="18" borderId="46" xfId="0" applyFont="1" applyFill="1" applyBorder="1" applyAlignment="1">
      <alignment horizontal="center" vertical="center" wrapText="1"/>
    </xf>
    <xf numFmtId="0" fontId="83" fillId="18" borderId="47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2" fillId="2" borderId="4" xfId="0" applyFont="1" applyFill="1" applyBorder="1" applyAlignment="1">
      <alignment horizontal="center"/>
    </xf>
    <xf numFmtId="0" fontId="49" fillId="0" borderId="7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/>
    </xf>
    <xf numFmtId="0" fontId="52" fillId="0" borderId="9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89E9C"/>
      <color rgb="FFDBF9BD"/>
      <color rgb="FFF56587"/>
      <color rgb="FFFF6699"/>
      <color rgb="FFFFEBF2"/>
      <color rgb="FFFFDDE8"/>
      <color rgb="FFFFC5D8"/>
      <color rgb="FFFFFAEB"/>
      <color rgb="FFFDFEF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Mtra. MARIA ROSAURA BECERRA OLMEDO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251209</xdr:colOff>
      <xdr:row>71</xdr:row>
      <xdr:rowOff>177939</xdr:rowOff>
    </xdr:from>
    <xdr:to>
      <xdr:col>11</xdr:col>
      <xdr:colOff>1988735</xdr:colOff>
      <xdr:row>74</xdr:row>
      <xdr:rowOff>125604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pSpPr/>
      </xdr:nvGrpSpPr>
      <xdr:grpSpPr>
        <a:xfrm>
          <a:off x="617555" y="24430054"/>
          <a:ext cx="12706977" cy="512885"/>
          <a:chOff x="617555" y="24430054"/>
          <a:chExt cx="12706977" cy="512885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800-000002000000}"/>
              </a:ext>
            </a:extLst>
          </xdr:cNvPr>
          <xdr:cNvSpPr txBox="1"/>
        </xdr:nvSpPr>
        <xdr:spPr>
          <a:xfrm>
            <a:off x="617555" y="24471924"/>
            <a:ext cx="2826099" cy="4396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Elpidio Macias Galindo 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</a:p>
          <a:p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 txBox="1"/>
        </xdr:nvSpPr>
        <xdr:spPr>
          <a:xfrm>
            <a:off x="4657830" y="24471923"/>
            <a:ext cx="3715796" cy="4710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Mtra. MARIA ROSAURA BECERRA OLMEDO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9985550" y="24461456"/>
            <a:ext cx="3234313" cy="4605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latin typeface="Arial" panose="020B0604020202020204" pitchFamily="34" charset="0"/>
                <a:cs typeface="Arial" panose="020B0604020202020204" pitchFamily="34" charset="0"/>
              </a:rPr>
              <a:t>Lic.</a:t>
            </a:r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 Eric Leal Montes</a:t>
            </a:r>
          </a:p>
          <a:p>
            <a:pPr algn="ctr"/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AUTORIZO</a:t>
            </a:r>
            <a:endParaRPr lang="es-MX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CxnSpPr/>
        </xdr:nvCxnSpPr>
        <xdr:spPr>
          <a:xfrm>
            <a:off x="4668297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CxnSpPr/>
        </xdr:nvCxnSpPr>
        <xdr:spPr>
          <a:xfrm>
            <a:off x="9661071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35</xdr:row>
      <xdr:rowOff>9525</xdr:rowOff>
    </xdr:from>
    <xdr:to>
      <xdr:col>10</xdr:col>
      <xdr:colOff>2028825</xdr:colOff>
      <xdr:row>39</xdr:row>
      <xdr:rowOff>47625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114300" y="7391400"/>
          <a:ext cx="12001500" cy="800100"/>
          <a:chOff x="617555" y="24430054"/>
          <a:chExt cx="12706977" cy="51288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 txBox="1"/>
        </xdr:nvSpPr>
        <xdr:spPr>
          <a:xfrm>
            <a:off x="617555" y="24471924"/>
            <a:ext cx="2826099" cy="4396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Elpidio Macias Galindo 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</a:p>
          <a:p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 txBox="1"/>
        </xdr:nvSpPr>
        <xdr:spPr>
          <a:xfrm>
            <a:off x="4657830" y="24471923"/>
            <a:ext cx="3715796" cy="4710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Mtra. MARIA ROSAURA BECERRA OLMEDO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 txBox="1"/>
        </xdr:nvSpPr>
        <xdr:spPr>
          <a:xfrm>
            <a:off x="9985550" y="24461456"/>
            <a:ext cx="3234313" cy="4605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latin typeface="Arial" panose="020B0604020202020204" pitchFamily="34" charset="0"/>
                <a:cs typeface="Arial" panose="020B0604020202020204" pitchFamily="34" charset="0"/>
              </a:rPr>
              <a:t>Lic.</a:t>
            </a:r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 Eric Leal Montes</a:t>
            </a:r>
          </a:p>
          <a:p>
            <a:pPr algn="ctr"/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AUTORIZO</a:t>
            </a:r>
            <a:endParaRPr lang="es-MX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CxnSpPr/>
        </xdr:nvCxnSpPr>
        <xdr:spPr>
          <a:xfrm>
            <a:off x="4668297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CxnSpPr/>
        </xdr:nvCxnSpPr>
        <xdr:spPr>
          <a:xfrm>
            <a:off x="9661071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35</xdr:row>
      <xdr:rowOff>0</xdr:rowOff>
    </xdr:from>
    <xdr:to>
      <xdr:col>5</xdr:col>
      <xdr:colOff>647700</xdr:colOff>
      <xdr:row>35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>
          <a:off x="476250" y="7381875"/>
          <a:ext cx="28575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topLeftCell="A4" workbookViewId="0">
      <selection activeCell="C9" sqref="C9:D9"/>
    </sheetView>
  </sheetViews>
  <sheetFormatPr baseColWidth="10" defaultColWidth="13.42578125" defaultRowHeight="15"/>
  <cols>
    <col min="1" max="1" width="13.42578125" style="151"/>
    <col min="2" max="2" width="7" style="151" customWidth="1"/>
    <col min="3" max="3" width="36.85546875" style="151" customWidth="1"/>
    <col min="4" max="5" width="13.42578125" style="151"/>
    <col min="6" max="6" width="1.42578125" style="151" customWidth="1"/>
    <col min="7" max="8" width="13.42578125" style="151"/>
    <col min="9" max="9" width="12.42578125" style="151" customWidth="1"/>
    <col min="10" max="10" width="9.28515625" style="151" customWidth="1"/>
    <col min="11" max="11" width="13.42578125" style="151"/>
    <col min="12" max="12" width="12.42578125" style="151" customWidth="1"/>
    <col min="13" max="13" width="44" style="151" customWidth="1"/>
    <col min="14" max="16384" width="13.42578125" style="151"/>
  </cols>
  <sheetData>
    <row r="1" spans="2:20">
      <c r="B1" s="35"/>
      <c r="C1" s="621"/>
      <c r="D1" s="622"/>
      <c r="E1" s="622"/>
      <c r="F1" s="622"/>
      <c r="G1" s="622"/>
      <c r="H1" s="622"/>
      <c r="I1" s="277"/>
      <c r="J1" s="23"/>
      <c r="K1" s="23"/>
      <c r="L1" s="23"/>
      <c r="M1" s="23"/>
    </row>
    <row r="2" spans="2:20" ht="19.5">
      <c r="B2" s="623" t="s">
        <v>206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5"/>
    </row>
    <row r="3" spans="2:20">
      <c r="B3" s="626" t="s">
        <v>776</v>
      </c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8"/>
    </row>
    <row r="4" spans="2:20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15"/>
      <c r="L4" s="15"/>
      <c r="M4" s="26"/>
    </row>
    <row r="5" spans="2:20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27"/>
    </row>
    <row r="6" spans="2:20" ht="33.75">
      <c r="B6" s="520" t="s">
        <v>1</v>
      </c>
      <c r="C6" s="619" t="s">
        <v>2</v>
      </c>
      <c r="D6" s="620"/>
      <c r="E6" s="519" t="s">
        <v>219</v>
      </c>
      <c r="F6" s="519"/>
      <c r="G6" s="519" t="s">
        <v>5</v>
      </c>
      <c r="H6" s="519" t="s">
        <v>44</v>
      </c>
      <c r="I6" s="519" t="s">
        <v>561</v>
      </c>
      <c r="J6" s="519" t="s">
        <v>43</v>
      </c>
      <c r="K6" s="519" t="s">
        <v>6</v>
      </c>
      <c r="L6" s="519" t="s">
        <v>7</v>
      </c>
      <c r="M6" s="455" t="s">
        <v>29</v>
      </c>
    </row>
    <row r="7" spans="2:20">
      <c r="B7" s="42" t="s">
        <v>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2"/>
      <c r="P7" s="153"/>
    </row>
    <row r="8" spans="2:20" ht="39.950000000000003" customHeight="1">
      <c r="B8" s="154" t="s">
        <v>260</v>
      </c>
      <c r="C8" s="617" t="s">
        <v>767</v>
      </c>
      <c r="D8" s="618"/>
      <c r="E8" s="9" t="s">
        <v>220</v>
      </c>
      <c r="F8" s="9"/>
      <c r="G8" s="9">
        <v>12370</v>
      </c>
      <c r="H8" s="9">
        <v>0</v>
      </c>
      <c r="I8" s="9"/>
      <c r="J8" s="9">
        <v>1922</v>
      </c>
      <c r="K8" s="9">
        <f>J8</f>
        <v>1922</v>
      </c>
      <c r="L8" s="155">
        <f>G8+H8-J8-I8</f>
        <v>10448</v>
      </c>
      <c r="M8" s="3"/>
      <c r="N8" s="151" t="s">
        <v>763</v>
      </c>
      <c r="P8" s="153"/>
    </row>
    <row r="9" spans="2:20" ht="39.950000000000003" customHeight="1">
      <c r="B9" s="154" t="s">
        <v>261</v>
      </c>
      <c r="C9" s="617" t="s">
        <v>430</v>
      </c>
      <c r="D9" s="618"/>
      <c r="E9" s="9" t="s">
        <v>220</v>
      </c>
      <c r="F9" s="9"/>
      <c r="G9" s="9">
        <v>12370</v>
      </c>
      <c r="H9" s="9">
        <v>0</v>
      </c>
      <c r="I9" s="9"/>
      <c r="J9" s="9">
        <v>1922</v>
      </c>
      <c r="K9" s="9">
        <f t="shared" ref="K9:K17" si="0">J9</f>
        <v>1922</v>
      </c>
      <c r="L9" s="155">
        <f t="shared" ref="L9:L17" si="1">G9+H9-J9-I9</f>
        <v>10448</v>
      </c>
      <c r="M9" s="120"/>
      <c r="P9" s="153"/>
    </row>
    <row r="10" spans="2:20" ht="39.950000000000003" customHeight="1">
      <c r="B10" s="154" t="s">
        <v>262</v>
      </c>
      <c r="C10" s="617" t="s">
        <v>538</v>
      </c>
      <c r="D10" s="618"/>
      <c r="E10" s="9" t="s">
        <v>220</v>
      </c>
      <c r="F10" s="9"/>
      <c r="G10" s="9">
        <v>12370</v>
      </c>
      <c r="H10" s="9">
        <v>0</v>
      </c>
      <c r="I10" s="9"/>
      <c r="J10" s="9">
        <v>1922</v>
      </c>
      <c r="K10" s="9">
        <f t="shared" si="0"/>
        <v>1922</v>
      </c>
      <c r="L10" s="155">
        <f t="shared" si="1"/>
        <v>10448</v>
      </c>
      <c r="M10" s="120"/>
      <c r="P10" s="153"/>
    </row>
    <row r="11" spans="2:20" ht="39.950000000000003" customHeight="1">
      <c r="B11" s="154" t="s">
        <v>263</v>
      </c>
      <c r="C11" s="617" t="s">
        <v>761</v>
      </c>
      <c r="D11" s="618"/>
      <c r="E11" s="9" t="s">
        <v>220</v>
      </c>
      <c r="F11" s="9"/>
      <c r="G11" s="9">
        <v>12370</v>
      </c>
      <c r="H11" s="9">
        <v>0</v>
      </c>
      <c r="I11" s="9"/>
      <c r="J11" s="9">
        <v>1922</v>
      </c>
      <c r="K11" s="9">
        <f t="shared" si="0"/>
        <v>1922</v>
      </c>
      <c r="L11" s="155">
        <f t="shared" si="1"/>
        <v>10448</v>
      </c>
      <c r="M11" s="120"/>
      <c r="N11" s="151" t="s">
        <v>762</v>
      </c>
      <c r="P11" s="153"/>
    </row>
    <row r="12" spans="2:20" ht="39.950000000000003" customHeight="1">
      <c r="B12" s="154" t="s">
        <v>265</v>
      </c>
      <c r="C12" s="617" t="s">
        <v>41</v>
      </c>
      <c r="D12" s="618"/>
      <c r="E12" s="9" t="s">
        <v>220</v>
      </c>
      <c r="F12" s="9"/>
      <c r="G12" s="9">
        <v>12370</v>
      </c>
      <c r="H12" s="9">
        <v>0</v>
      </c>
      <c r="I12" s="9"/>
      <c r="J12" s="9">
        <v>1922</v>
      </c>
      <c r="K12" s="9">
        <f t="shared" si="0"/>
        <v>1922</v>
      </c>
      <c r="L12" s="155">
        <f t="shared" si="1"/>
        <v>10448</v>
      </c>
      <c r="M12" s="120"/>
      <c r="P12" s="153"/>
    </row>
    <row r="13" spans="2:20" ht="39.950000000000003" customHeight="1">
      <c r="B13" s="154" t="s">
        <v>266</v>
      </c>
      <c r="C13" s="617" t="s">
        <v>718</v>
      </c>
      <c r="D13" s="618"/>
      <c r="E13" s="9" t="s">
        <v>220</v>
      </c>
      <c r="F13" s="9"/>
      <c r="G13" s="9">
        <v>12370</v>
      </c>
      <c r="H13" s="9">
        <v>0</v>
      </c>
      <c r="I13" s="9"/>
      <c r="J13" s="9">
        <v>1922</v>
      </c>
      <c r="K13" s="9">
        <f t="shared" si="0"/>
        <v>1922</v>
      </c>
      <c r="L13" s="155">
        <f t="shared" si="1"/>
        <v>10448</v>
      </c>
      <c r="M13" s="120"/>
      <c r="N13" s="287"/>
      <c r="P13" s="153"/>
    </row>
    <row r="14" spans="2:20" ht="39.950000000000003" customHeight="1">
      <c r="B14" s="154" t="s">
        <v>267</v>
      </c>
      <c r="C14" s="617" t="s">
        <v>34</v>
      </c>
      <c r="D14" s="618"/>
      <c r="E14" s="9" t="s">
        <v>220</v>
      </c>
      <c r="F14" s="9"/>
      <c r="G14" s="9">
        <v>12370</v>
      </c>
      <c r="H14" s="9">
        <v>0</v>
      </c>
      <c r="I14" s="9"/>
      <c r="J14" s="9">
        <v>1922</v>
      </c>
      <c r="K14" s="9">
        <f t="shared" si="0"/>
        <v>1922</v>
      </c>
      <c r="L14" s="155">
        <f t="shared" si="1"/>
        <v>10448</v>
      </c>
      <c r="M14" s="120"/>
      <c r="P14" s="153"/>
    </row>
    <row r="15" spans="2:20" ht="39.950000000000003" customHeight="1">
      <c r="B15" s="154" t="s">
        <v>268</v>
      </c>
      <c r="C15" s="617" t="s">
        <v>32</v>
      </c>
      <c r="D15" s="618"/>
      <c r="E15" s="9" t="s">
        <v>220</v>
      </c>
      <c r="F15" s="9"/>
      <c r="G15" s="9">
        <v>12370</v>
      </c>
      <c r="H15" s="9">
        <v>0</v>
      </c>
      <c r="I15" s="9"/>
      <c r="J15" s="9">
        <v>1922</v>
      </c>
      <c r="K15" s="9">
        <f t="shared" si="0"/>
        <v>1922</v>
      </c>
      <c r="L15" s="155">
        <f t="shared" si="1"/>
        <v>10448</v>
      </c>
      <c r="M15" s="3"/>
      <c r="P15" s="153"/>
      <c r="S15" s="156">
        <v>81249.2</v>
      </c>
      <c r="T15" s="151" t="s">
        <v>216</v>
      </c>
    </row>
    <row r="16" spans="2:20" ht="39.950000000000003" customHeight="1">
      <c r="B16" s="154" t="s">
        <v>269</v>
      </c>
      <c r="C16" s="617" t="s">
        <v>33</v>
      </c>
      <c r="D16" s="618"/>
      <c r="E16" s="9" t="s">
        <v>220</v>
      </c>
      <c r="F16" s="9"/>
      <c r="G16" s="9">
        <v>12370</v>
      </c>
      <c r="H16" s="9">
        <v>0</v>
      </c>
      <c r="I16" s="9"/>
      <c r="J16" s="9">
        <v>1922</v>
      </c>
      <c r="K16" s="9">
        <f>I16+J16</f>
        <v>1922</v>
      </c>
      <c r="L16" s="155">
        <f>G16-K16</f>
        <v>10448</v>
      </c>
      <c r="M16" s="3"/>
      <c r="P16" s="153"/>
      <c r="S16" s="156">
        <v>262038.17</v>
      </c>
      <c r="T16" s="151" t="s">
        <v>207</v>
      </c>
    </row>
    <row r="17" spans="2:20" ht="39.950000000000003" customHeight="1">
      <c r="B17" s="154" t="s">
        <v>352</v>
      </c>
      <c r="C17" s="617" t="s">
        <v>559</v>
      </c>
      <c r="D17" s="618"/>
      <c r="E17" s="9" t="s">
        <v>221</v>
      </c>
      <c r="F17" s="9"/>
      <c r="G17" s="9">
        <v>12370</v>
      </c>
      <c r="H17" s="9">
        <v>0</v>
      </c>
      <c r="I17" s="9"/>
      <c r="J17" s="9">
        <v>1922</v>
      </c>
      <c r="K17" s="9">
        <f t="shared" si="0"/>
        <v>1922</v>
      </c>
      <c r="L17" s="155">
        <f t="shared" si="1"/>
        <v>10448</v>
      </c>
      <c r="M17" s="3"/>
      <c r="P17" s="153"/>
      <c r="S17" s="157"/>
      <c r="T17" s="158"/>
    </row>
    <row r="18" spans="2:20" ht="15.75" thickBot="1">
      <c r="B18" s="159"/>
      <c r="C18" s="511" t="s">
        <v>45</v>
      </c>
      <c r="D18" s="512">
        <f>SUM(D8:D17)</f>
        <v>0</v>
      </c>
      <c r="E18" s="512"/>
      <c r="F18" s="512">
        <f t="shared" ref="F18:H18" si="2">SUM(F8:F17)</f>
        <v>0</v>
      </c>
      <c r="G18" s="512">
        <f>SUM(G8:G17)</f>
        <v>123700</v>
      </c>
      <c r="H18" s="512">
        <f t="shared" si="2"/>
        <v>0</v>
      </c>
      <c r="I18" s="512">
        <f>SUM(I8:I17)</f>
        <v>0</v>
      </c>
      <c r="J18" s="547">
        <f>SUM(J8:J17)</f>
        <v>19220</v>
      </c>
      <c r="K18" s="512">
        <f>SUM(K8:K17)</f>
        <v>19220</v>
      </c>
      <c r="L18" s="211">
        <f>SUM(L8:L17)</f>
        <v>104480</v>
      </c>
      <c r="M18" s="548"/>
      <c r="P18" s="153"/>
    </row>
    <row r="19" spans="2:20" ht="15.75" thickTop="1">
      <c r="J19" s="258"/>
      <c r="L19" s="160" t="s">
        <v>46</v>
      </c>
      <c r="P19" s="153"/>
    </row>
    <row r="20" spans="2:20">
      <c r="P20" s="153"/>
      <c r="S20" s="156">
        <v>81333.070000000007</v>
      </c>
      <c r="T20" s="151" t="s">
        <v>217</v>
      </c>
    </row>
    <row r="21" spans="2:20">
      <c r="F21" s="164"/>
      <c r="G21" s="164"/>
      <c r="H21" s="164"/>
      <c r="I21" s="164"/>
      <c r="J21" s="164"/>
      <c r="L21" s="164"/>
      <c r="M21" s="164"/>
      <c r="P21" s="153"/>
      <c r="S21" s="156">
        <v>53056.03</v>
      </c>
      <c r="T21" s="151" t="s">
        <v>218</v>
      </c>
    </row>
    <row r="22" spans="2:20">
      <c r="B22" s="614" t="s">
        <v>708</v>
      </c>
      <c r="C22" s="614"/>
      <c r="D22" s="163"/>
      <c r="F22" s="616" t="s">
        <v>765</v>
      </c>
      <c r="G22" s="616"/>
      <c r="H22" s="616"/>
      <c r="I22" s="616"/>
      <c r="J22" s="616"/>
      <c r="L22" s="615" t="s">
        <v>572</v>
      </c>
      <c r="M22" s="615"/>
      <c r="N22" s="6"/>
      <c r="P22" s="98"/>
      <c r="Q22" s="98"/>
      <c r="S22" s="157"/>
    </row>
    <row r="23" spans="2:20">
      <c r="B23" s="615" t="s">
        <v>145</v>
      </c>
      <c r="C23" s="615"/>
      <c r="D23" s="6"/>
      <c r="F23" s="615" t="s">
        <v>402</v>
      </c>
      <c r="G23" s="615"/>
      <c r="H23" s="615"/>
      <c r="I23" s="615"/>
      <c r="J23" s="615"/>
      <c r="L23" s="615" t="s">
        <v>30</v>
      </c>
      <c r="M23" s="615"/>
      <c r="N23" s="6"/>
      <c r="P23" s="6"/>
      <c r="Q23" s="6"/>
    </row>
    <row r="24" spans="2:20">
      <c r="P24" s="153"/>
    </row>
    <row r="25" spans="2:20">
      <c r="P25" s="153"/>
      <c r="S25" s="156">
        <v>96237.05</v>
      </c>
      <c r="T25" s="151" t="s">
        <v>208</v>
      </c>
    </row>
    <row r="26" spans="2:20">
      <c r="P26" s="153"/>
    </row>
    <row r="27" spans="2:20">
      <c r="L27" s="258">
        <f>G18-I18-J18</f>
        <v>104480</v>
      </c>
      <c r="P27" s="153"/>
      <c r="S27" s="156">
        <v>103878.79</v>
      </c>
      <c r="T27" s="151" t="s">
        <v>215</v>
      </c>
    </row>
    <row r="28" spans="2:20">
      <c r="L28" s="258">
        <f>L18-L27</f>
        <v>0</v>
      </c>
      <c r="P28" s="153"/>
    </row>
    <row r="29" spans="2:20">
      <c r="P29" s="153"/>
      <c r="S29" s="156">
        <v>128320</v>
      </c>
      <c r="T29" s="151" t="s">
        <v>256</v>
      </c>
    </row>
    <row r="30" spans="2:20">
      <c r="P30" s="161"/>
      <c r="S30" s="162">
        <f>SUM(S15:S29)</f>
        <v>806112.31</v>
      </c>
      <c r="T30" s="151" t="s">
        <v>257</v>
      </c>
    </row>
    <row r="31" spans="2:20">
      <c r="P31" s="161"/>
    </row>
    <row r="32" spans="2:20">
      <c r="P32" s="161"/>
    </row>
    <row r="33" spans="16:16">
      <c r="P33" s="161"/>
    </row>
    <row r="34" spans="16:16">
      <c r="P34" s="161"/>
    </row>
    <row r="35" spans="16:16">
      <c r="P35" s="161"/>
    </row>
    <row r="36" spans="16:16">
      <c r="P36" s="161"/>
    </row>
    <row r="37" spans="16:16">
      <c r="P37" s="161"/>
    </row>
    <row r="38" spans="16:16">
      <c r="P38" s="161"/>
    </row>
    <row r="39" spans="16:16">
      <c r="P39" s="161"/>
    </row>
  </sheetData>
  <mergeCells count="20">
    <mergeCell ref="C15:D15"/>
    <mergeCell ref="C16:D16"/>
    <mergeCell ref="C17:D17"/>
    <mergeCell ref="C6:D6"/>
    <mergeCell ref="C1:H1"/>
    <mergeCell ref="B2:M2"/>
    <mergeCell ref="B3:M3"/>
    <mergeCell ref="C8:D8"/>
    <mergeCell ref="C9:D9"/>
    <mergeCell ref="C10:D10"/>
    <mergeCell ref="C11:D11"/>
    <mergeCell ref="C12:D12"/>
    <mergeCell ref="C13:D13"/>
    <mergeCell ref="C14:D14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2:L33"/>
  <sheetViews>
    <sheetView topLeftCell="A7" workbookViewId="0">
      <selection activeCell="I8" sqref="I8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702" t="s">
        <v>532</v>
      </c>
      <c r="D2" s="702"/>
      <c r="E2" s="702"/>
      <c r="F2" s="702"/>
      <c r="G2" s="702"/>
      <c r="H2" s="702"/>
      <c r="I2" s="702"/>
      <c r="J2" s="702"/>
      <c r="K2" s="246"/>
    </row>
    <row r="3" spans="3:12" ht="42.75">
      <c r="C3" s="703" t="s">
        <v>790</v>
      </c>
      <c r="D3" s="703"/>
      <c r="E3" s="703"/>
      <c r="F3" s="703"/>
      <c r="G3" s="703"/>
      <c r="H3" s="703"/>
      <c r="I3" s="703"/>
      <c r="J3" s="289"/>
      <c r="K3" s="180"/>
    </row>
    <row r="4" spans="3:12" ht="18.75">
      <c r="C4" s="704" t="s">
        <v>343</v>
      </c>
      <c r="D4" s="706" t="s">
        <v>47</v>
      </c>
      <c r="E4" s="706"/>
      <c r="F4" s="706"/>
      <c r="G4" s="178"/>
      <c r="H4" s="178" t="s">
        <v>627</v>
      </c>
      <c r="I4" s="178"/>
      <c r="J4" s="165"/>
      <c r="K4" s="165"/>
    </row>
    <row r="5" spans="3:12" ht="18.75">
      <c r="C5" s="705"/>
      <c r="D5" s="179" t="s">
        <v>48</v>
      </c>
      <c r="E5" s="178" t="s">
        <v>49</v>
      </c>
      <c r="F5" s="178" t="s">
        <v>50</v>
      </c>
      <c r="G5" s="178" t="s">
        <v>51</v>
      </c>
      <c r="H5" s="178"/>
      <c r="I5" s="178" t="s">
        <v>52</v>
      </c>
      <c r="J5" s="178" t="s">
        <v>342</v>
      </c>
      <c r="K5" s="247" t="s">
        <v>521</v>
      </c>
    </row>
    <row r="6" spans="3:12">
      <c r="C6" s="173">
        <v>1</v>
      </c>
      <c r="D6" s="176" t="s">
        <v>307</v>
      </c>
      <c r="E6" s="176" t="s">
        <v>333</v>
      </c>
      <c r="F6" s="172" t="s">
        <v>332</v>
      </c>
      <c r="G6" s="176" t="s">
        <v>331</v>
      </c>
      <c r="H6" s="176">
        <v>122</v>
      </c>
      <c r="I6" s="175" t="s">
        <v>340</v>
      </c>
      <c r="J6" s="576">
        <v>1146</v>
      </c>
      <c r="K6" s="174"/>
    </row>
    <row r="7" spans="3:12">
      <c r="C7" s="173">
        <v>2</v>
      </c>
      <c r="D7" s="176" t="s">
        <v>320</v>
      </c>
      <c r="E7" s="176" t="s">
        <v>315</v>
      </c>
      <c r="F7" s="176" t="s">
        <v>319</v>
      </c>
      <c r="G7" s="176" t="s">
        <v>318</v>
      </c>
      <c r="H7" s="176">
        <v>122</v>
      </c>
      <c r="I7" s="177">
        <v>15544028286487</v>
      </c>
      <c r="J7" s="576">
        <v>1146</v>
      </c>
      <c r="K7" s="174"/>
    </row>
    <row r="8" spans="3:12">
      <c r="C8" s="173">
        <v>3</v>
      </c>
      <c r="D8" s="176" t="s">
        <v>598</v>
      </c>
      <c r="E8" s="176" t="s">
        <v>599</v>
      </c>
      <c r="F8" s="176" t="s">
        <v>600</v>
      </c>
      <c r="G8" s="176" t="s">
        <v>317</v>
      </c>
      <c r="H8" s="176">
        <v>122</v>
      </c>
      <c r="I8" s="177">
        <v>15600228287644</v>
      </c>
      <c r="J8" s="576">
        <v>1146</v>
      </c>
      <c r="K8" s="174"/>
    </row>
    <row r="9" spans="3:12">
      <c r="C9" s="173">
        <v>4</v>
      </c>
      <c r="D9" s="176" t="s">
        <v>330</v>
      </c>
      <c r="E9" s="176" t="s">
        <v>437</v>
      </c>
      <c r="F9" s="176" t="s">
        <v>436</v>
      </c>
      <c r="G9" s="176" t="s">
        <v>628</v>
      </c>
      <c r="H9" s="176">
        <v>122</v>
      </c>
      <c r="I9" s="177"/>
      <c r="J9" s="576">
        <v>1146</v>
      </c>
      <c r="K9" s="174"/>
    </row>
    <row r="10" spans="3:12">
      <c r="C10" s="173">
        <v>5</v>
      </c>
      <c r="D10" s="176" t="s">
        <v>303</v>
      </c>
      <c r="E10" s="176" t="s">
        <v>302</v>
      </c>
      <c r="F10" s="172" t="s">
        <v>301</v>
      </c>
      <c r="G10" s="176" t="s">
        <v>300</v>
      </c>
      <c r="H10" s="176">
        <v>122</v>
      </c>
      <c r="I10" s="175" t="s">
        <v>329</v>
      </c>
      <c r="J10" s="576">
        <v>1146</v>
      </c>
      <c r="K10" s="266"/>
      <c r="L10" s="290"/>
    </row>
    <row r="11" spans="3:12">
      <c r="C11" s="173">
        <v>6</v>
      </c>
      <c r="D11" s="172" t="s">
        <v>299</v>
      </c>
      <c r="E11" s="172" t="s">
        <v>298</v>
      </c>
      <c r="F11" s="172" t="s">
        <v>297</v>
      </c>
      <c r="G11" s="172" t="s">
        <v>296</v>
      </c>
      <c r="H11" s="176">
        <v>122</v>
      </c>
      <c r="I11" s="175" t="s">
        <v>324</v>
      </c>
      <c r="J11" s="576">
        <v>1146</v>
      </c>
      <c r="K11" s="174"/>
    </row>
    <row r="12" spans="3:12">
      <c r="C12" s="173">
        <v>7</v>
      </c>
      <c r="D12" s="176" t="s">
        <v>515</v>
      </c>
      <c r="E12" s="176" t="s">
        <v>516</v>
      </c>
      <c r="F12" s="176" t="s">
        <v>517</v>
      </c>
      <c r="G12" s="176" t="s">
        <v>518</v>
      </c>
      <c r="H12" s="176">
        <v>122</v>
      </c>
      <c r="I12" s="175" t="s">
        <v>321</v>
      </c>
      <c r="J12" s="576">
        <v>1712</v>
      </c>
      <c r="K12" s="174"/>
    </row>
    <row r="13" spans="3:12">
      <c r="C13" s="173">
        <v>8</v>
      </c>
      <c r="D13" s="176" t="s">
        <v>544</v>
      </c>
      <c r="E13" s="176" t="s">
        <v>333</v>
      </c>
      <c r="F13" s="176" t="s">
        <v>545</v>
      </c>
      <c r="G13" s="176" t="s">
        <v>546</v>
      </c>
      <c r="H13" s="176">
        <v>122</v>
      </c>
      <c r="I13" s="177">
        <v>1553028285628</v>
      </c>
      <c r="J13" s="576">
        <v>1146</v>
      </c>
      <c r="K13" s="174"/>
    </row>
    <row r="14" spans="3:12">
      <c r="C14" s="173">
        <v>9</v>
      </c>
      <c r="D14" s="176" t="s">
        <v>550</v>
      </c>
      <c r="E14" s="176" t="s">
        <v>551</v>
      </c>
      <c r="F14" s="176" t="s">
        <v>319</v>
      </c>
      <c r="G14" s="176" t="s">
        <v>552</v>
      </c>
      <c r="H14" s="176">
        <v>122</v>
      </c>
      <c r="I14" s="177"/>
      <c r="J14" s="576">
        <v>1146</v>
      </c>
      <c r="K14" s="174"/>
    </row>
    <row r="15" spans="3:12">
      <c r="C15" s="410">
        <v>10</v>
      </c>
      <c r="D15" s="198" t="s">
        <v>648</v>
      </c>
      <c r="E15" s="198" t="s">
        <v>649</v>
      </c>
      <c r="F15" s="198" t="s">
        <v>650</v>
      </c>
      <c r="G15" s="198" t="s">
        <v>673</v>
      </c>
      <c r="H15" s="198">
        <v>122</v>
      </c>
      <c r="I15" s="411"/>
      <c r="J15" s="577">
        <v>1712</v>
      </c>
      <c r="K15" s="412"/>
      <c r="L15" t="s">
        <v>633</v>
      </c>
    </row>
    <row r="16" spans="3:12">
      <c r="C16" s="360">
        <v>11</v>
      </c>
      <c r="D16" s="176" t="s">
        <v>670</v>
      </c>
      <c r="E16" s="176" t="s">
        <v>671</v>
      </c>
      <c r="F16" s="176" t="s">
        <v>685</v>
      </c>
      <c r="G16" s="176" t="s">
        <v>672</v>
      </c>
      <c r="H16" s="176">
        <v>122</v>
      </c>
      <c r="I16" s="177"/>
      <c r="J16" s="576">
        <v>1560</v>
      </c>
      <c r="K16" s="174"/>
      <c r="L16" t="s">
        <v>676</v>
      </c>
    </row>
    <row r="17" spans="3:12" ht="25.5" customHeight="1">
      <c r="C17" s="360">
        <v>12</v>
      </c>
      <c r="D17" s="172" t="s">
        <v>519</v>
      </c>
      <c r="E17" s="172" t="s">
        <v>515</v>
      </c>
      <c r="F17" s="172" t="s">
        <v>520</v>
      </c>
      <c r="G17" s="264" t="s">
        <v>547</v>
      </c>
      <c r="H17" s="176">
        <v>122</v>
      </c>
      <c r="I17" s="177" t="s">
        <v>312</v>
      </c>
      <c r="J17" s="576">
        <v>1639</v>
      </c>
      <c r="K17" s="174"/>
    </row>
    <row r="18" spans="3:12" ht="15.75" thickBot="1">
      <c r="C18" s="380">
        <v>13</v>
      </c>
      <c r="D18" s="374" t="s">
        <v>544</v>
      </c>
      <c r="E18" s="374" t="s">
        <v>298</v>
      </c>
      <c r="F18" s="374" t="s">
        <v>742</v>
      </c>
      <c r="G18" s="591" t="s">
        <v>743</v>
      </c>
      <c r="H18" s="374">
        <v>122</v>
      </c>
      <c r="I18" s="592"/>
      <c r="J18" s="593">
        <v>1146</v>
      </c>
      <c r="K18" s="594"/>
      <c r="L18" s="580" t="s">
        <v>744</v>
      </c>
    </row>
    <row r="19" spans="3:12" ht="15.75" thickTop="1">
      <c r="C19" s="368"/>
      <c r="D19" s="209"/>
      <c r="E19" s="209"/>
      <c r="F19" s="369"/>
      <c r="G19" s="209"/>
      <c r="H19" s="209"/>
      <c r="I19" s="370"/>
      <c r="J19" s="371">
        <f>SUM(J6:J18)</f>
        <v>16937</v>
      </c>
      <c r="K19" s="372"/>
    </row>
    <row r="20" spans="3:12">
      <c r="C20" s="360">
        <v>14</v>
      </c>
      <c r="D20" s="176" t="s">
        <v>310</v>
      </c>
      <c r="E20" s="176" t="s">
        <v>323</v>
      </c>
      <c r="F20" s="172" t="s">
        <v>527</v>
      </c>
      <c r="G20" s="176" t="s">
        <v>341</v>
      </c>
      <c r="H20" s="176">
        <v>443</v>
      </c>
      <c r="I20" s="177" t="s">
        <v>311</v>
      </c>
      <c r="J20" s="576">
        <v>1146</v>
      </c>
      <c r="K20" s="174"/>
    </row>
    <row r="21" spans="3:12">
      <c r="C21" s="173">
        <v>15</v>
      </c>
      <c r="D21" s="172" t="s">
        <v>339</v>
      </c>
      <c r="E21" s="172" t="s">
        <v>309</v>
      </c>
      <c r="F21" s="172" t="s">
        <v>338</v>
      </c>
      <c r="G21" s="176" t="s">
        <v>337</v>
      </c>
      <c r="H21" s="176">
        <v>443</v>
      </c>
      <c r="I21" s="177"/>
      <c r="J21" s="576">
        <v>1146</v>
      </c>
      <c r="K21" s="170"/>
    </row>
    <row r="22" spans="3:12">
      <c r="C22" s="173">
        <v>16</v>
      </c>
      <c r="D22" s="176" t="s">
        <v>328</v>
      </c>
      <c r="E22" s="176" t="s">
        <v>327</v>
      </c>
      <c r="F22" s="172" t="s">
        <v>326</v>
      </c>
      <c r="G22" s="176" t="s">
        <v>325</v>
      </c>
      <c r="H22" s="176">
        <v>443</v>
      </c>
      <c r="I22" s="175"/>
      <c r="J22" s="576">
        <v>1146</v>
      </c>
      <c r="K22" s="174"/>
    </row>
    <row r="23" spans="3:12">
      <c r="C23" s="173">
        <v>17</v>
      </c>
      <c r="D23" s="176" t="s">
        <v>631</v>
      </c>
      <c r="E23" s="176" t="s">
        <v>298</v>
      </c>
      <c r="F23" s="172" t="s">
        <v>632</v>
      </c>
      <c r="G23" s="176" t="s">
        <v>322</v>
      </c>
      <c r="H23" s="176">
        <v>443</v>
      </c>
      <c r="I23" s="171"/>
      <c r="J23" s="576">
        <v>1146</v>
      </c>
      <c r="K23" s="170"/>
      <c r="L23" s="275" t="s">
        <v>633</v>
      </c>
    </row>
    <row r="24" spans="3:12">
      <c r="C24" s="360">
        <v>18</v>
      </c>
      <c r="D24" s="176" t="s">
        <v>316</v>
      </c>
      <c r="E24" s="176" t="s">
        <v>315</v>
      </c>
      <c r="F24" s="172" t="s">
        <v>314</v>
      </c>
      <c r="G24" s="176" t="s">
        <v>313</v>
      </c>
      <c r="H24" s="176">
        <v>443</v>
      </c>
      <c r="I24" s="175"/>
      <c r="J24" s="576">
        <v>1146</v>
      </c>
      <c r="K24" s="170"/>
    </row>
    <row r="25" spans="3:12">
      <c r="C25" s="360">
        <v>19</v>
      </c>
      <c r="D25" s="361" t="s">
        <v>310</v>
      </c>
      <c r="E25" s="361" t="s">
        <v>577</v>
      </c>
      <c r="F25" s="361" t="s">
        <v>589</v>
      </c>
      <c r="G25" s="176" t="s">
        <v>308</v>
      </c>
      <c r="H25" s="176">
        <v>443</v>
      </c>
      <c r="I25" s="175"/>
      <c r="J25" s="576">
        <v>1146</v>
      </c>
      <c r="K25" s="170"/>
    </row>
    <row r="26" spans="3:12" ht="15.75" thickBot="1">
      <c r="C26" s="380">
        <v>20</v>
      </c>
      <c r="D26" s="374" t="s">
        <v>307</v>
      </c>
      <c r="E26" s="374" t="s">
        <v>306</v>
      </c>
      <c r="F26" s="373" t="s">
        <v>305</v>
      </c>
      <c r="G26" s="374" t="s">
        <v>304</v>
      </c>
      <c r="H26" s="374">
        <v>443</v>
      </c>
      <c r="I26" s="381"/>
      <c r="J26" s="576">
        <v>1146</v>
      </c>
      <c r="K26" s="382"/>
      <c r="L26" s="290"/>
    </row>
    <row r="27" spans="3:12" ht="15.75" thickTop="1">
      <c r="C27" s="368"/>
      <c r="D27" s="209"/>
      <c r="E27" s="209"/>
      <c r="F27" s="369"/>
      <c r="G27" s="209"/>
      <c r="H27" s="209"/>
      <c r="I27" s="379"/>
      <c r="J27" s="383">
        <f>SUM(J20:J26)</f>
        <v>8022</v>
      </c>
      <c r="K27" s="377"/>
      <c r="L27" s="290"/>
    </row>
    <row r="28" spans="3:12">
      <c r="C28" s="368"/>
      <c r="D28" s="209"/>
      <c r="E28" s="209"/>
      <c r="F28" s="369"/>
      <c r="G28" s="209"/>
      <c r="H28" s="209"/>
      <c r="I28" s="379"/>
      <c r="J28" s="378"/>
      <c r="K28" s="377"/>
      <c r="L28" s="290"/>
    </row>
    <row r="29" spans="3:12">
      <c r="C29" s="389">
        <v>21</v>
      </c>
      <c r="D29" s="176" t="s">
        <v>299</v>
      </c>
      <c r="E29" s="176" t="s">
        <v>336</v>
      </c>
      <c r="F29" s="172" t="s">
        <v>335</v>
      </c>
      <c r="G29" s="176" t="s">
        <v>334</v>
      </c>
      <c r="H29" s="172">
        <v>445</v>
      </c>
      <c r="I29" s="171" t="s">
        <v>548</v>
      </c>
      <c r="J29" s="266">
        <v>1136</v>
      </c>
      <c r="K29" s="170"/>
    </row>
    <row r="30" spans="3:12">
      <c r="C30" s="375"/>
      <c r="D30" s="209"/>
      <c r="E30" s="209"/>
      <c r="F30" s="369"/>
      <c r="G30" s="209"/>
      <c r="H30" s="369"/>
      <c r="I30" s="376"/>
      <c r="J30" s="383">
        <f>SUM(J29)</f>
        <v>1136</v>
      </c>
      <c r="K30" s="377"/>
    </row>
    <row r="31" spans="3:12" ht="11.25" customHeight="1">
      <c r="C31" s="375"/>
      <c r="D31" s="209"/>
      <c r="E31" s="209"/>
      <c r="F31" s="369"/>
      <c r="G31" s="209"/>
      <c r="H31" s="369"/>
      <c r="I31" s="376"/>
      <c r="J31" s="384"/>
      <c r="K31" s="377"/>
    </row>
    <row r="32" spans="3:12" ht="15.75" thickBot="1">
      <c r="C32" s="240"/>
      <c r="D32" s="240"/>
      <c r="E32" s="240"/>
      <c r="F32" s="240"/>
      <c r="G32" s="240"/>
      <c r="H32" s="385"/>
      <c r="I32" s="385"/>
      <c r="J32" s="386">
        <f>J19+J27+J30</f>
        <v>26095</v>
      </c>
      <c r="K32" s="387"/>
    </row>
    <row r="33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26"/>
  <sheetViews>
    <sheetView workbookViewId="0">
      <selection activeCell="O3" sqref="O3"/>
    </sheetView>
  </sheetViews>
  <sheetFormatPr baseColWidth="10" defaultRowHeight="15"/>
  <cols>
    <col min="4" max="4" width="15.42578125" customWidth="1"/>
    <col min="5" max="5" width="14.42578125" customWidth="1"/>
    <col min="6" max="6" width="23.28515625" customWidth="1"/>
    <col min="7" max="7" width="0.5703125" customWidth="1"/>
    <col min="8" max="8" width="12.28515625" bestFit="1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707" t="s">
        <v>791</v>
      </c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9"/>
    </row>
    <row r="2" spans="2:16" ht="15.75">
      <c r="B2" s="710" t="s">
        <v>392</v>
      </c>
      <c r="C2" s="710"/>
      <c r="D2" s="710"/>
      <c r="E2" s="183" t="s">
        <v>150</v>
      </c>
      <c r="F2" s="184"/>
      <c r="G2" s="184"/>
      <c r="H2" s="184"/>
      <c r="I2" s="184"/>
      <c r="J2" s="184"/>
      <c r="K2" s="185"/>
      <c r="L2" s="304"/>
      <c r="M2" s="184"/>
      <c r="N2" s="184"/>
    </row>
    <row r="3" spans="2:16" ht="15.75">
      <c r="B3" s="390" t="s">
        <v>151</v>
      </c>
      <c r="C3" s="186"/>
      <c r="D3" s="186"/>
      <c r="E3" s="186"/>
      <c r="F3" s="186"/>
      <c r="G3" s="187" t="s">
        <v>28</v>
      </c>
      <c r="H3" s="711" t="s">
        <v>55</v>
      </c>
      <c r="I3" s="712"/>
      <c r="J3" s="188"/>
      <c r="K3" s="189" t="s">
        <v>56</v>
      </c>
      <c r="L3" s="190"/>
      <c r="M3" s="295"/>
      <c r="N3" s="295"/>
    </row>
    <row r="4" spans="2:16" ht="15.75" customHeight="1">
      <c r="B4" s="391" t="s">
        <v>152</v>
      </c>
      <c r="C4" s="713" t="s">
        <v>47</v>
      </c>
      <c r="D4" s="714"/>
      <c r="E4" s="714"/>
      <c r="F4" s="191"/>
      <c r="G4" s="424"/>
      <c r="H4" s="400" t="s">
        <v>3</v>
      </c>
      <c r="I4" s="401" t="s">
        <v>153</v>
      </c>
      <c r="J4" s="402" t="s">
        <v>62</v>
      </c>
      <c r="K4" s="403" t="s">
        <v>393</v>
      </c>
      <c r="L4" s="404" t="s">
        <v>154</v>
      </c>
      <c r="M4" s="298" t="s">
        <v>595</v>
      </c>
      <c r="N4" s="296"/>
    </row>
    <row r="5" spans="2:16" ht="15.75">
      <c r="B5" s="392" t="s">
        <v>155</v>
      </c>
      <c r="C5" s="393" t="s">
        <v>48</v>
      </c>
      <c r="D5" s="394" t="s">
        <v>49</v>
      </c>
      <c r="E5" s="394" t="s">
        <v>50</v>
      </c>
      <c r="F5" s="394" t="s">
        <v>51</v>
      </c>
      <c r="G5" s="395" t="s">
        <v>52</v>
      </c>
      <c r="H5" s="396" t="s">
        <v>394</v>
      </c>
      <c r="I5" s="397" t="s">
        <v>159</v>
      </c>
      <c r="J5" s="398" t="s">
        <v>160</v>
      </c>
      <c r="K5" s="399" t="s">
        <v>394</v>
      </c>
      <c r="L5" s="394" t="s">
        <v>162</v>
      </c>
      <c r="M5" s="297" t="s">
        <v>594</v>
      </c>
      <c r="N5" s="297" t="s">
        <v>513</v>
      </c>
    </row>
    <row r="6" spans="2:16">
      <c r="B6" s="192" t="s">
        <v>395</v>
      </c>
      <c r="C6" s="192"/>
      <c r="D6" s="192"/>
      <c r="E6" s="192"/>
      <c r="F6" s="193"/>
      <c r="G6" s="193"/>
      <c r="H6" s="194"/>
      <c r="I6" s="194"/>
      <c r="J6" s="193"/>
      <c r="K6" s="194"/>
      <c r="L6" s="193"/>
      <c r="M6" s="193"/>
      <c r="N6" s="193"/>
    </row>
    <row r="7" spans="2:16" ht="36.75">
      <c r="B7" s="176">
        <v>1</v>
      </c>
      <c r="C7" s="172" t="s">
        <v>537</v>
      </c>
      <c r="D7" s="172" t="s">
        <v>603</v>
      </c>
      <c r="E7" s="172" t="s">
        <v>604</v>
      </c>
      <c r="F7" s="264" t="s">
        <v>683</v>
      </c>
      <c r="G7" s="176"/>
      <c r="H7" s="266">
        <v>5480.6</v>
      </c>
      <c r="I7" s="174">
        <f>H7</f>
        <v>5480.6</v>
      </c>
      <c r="J7" s="195"/>
      <c r="K7" s="174">
        <v>55.76</v>
      </c>
      <c r="L7" s="196">
        <f>I7+J7-K7</f>
        <v>5424.84</v>
      </c>
      <c r="M7" s="302"/>
      <c r="N7" s="196">
        <f t="shared" ref="N7:N10" si="0">SUM(L7-M7)</f>
        <v>5424.84</v>
      </c>
      <c r="O7" s="197"/>
    </row>
    <row r="8" spans="2:16" ht="36.75">
      <c r="B8" s="176">
        <v>2</v>
      </c>
      <c r="C8" s="176" t="s">
        <v>199</v>
      </c>
      <c r="D8" s="176" t="s">
        <v>396</v>
      </c>
      <c r="E8" s="176" t="s">
        <v>397</v>
      </c>
      <c r="F8" s="308" t="s">
        <v>759</v>
      </c>
      <c r="G8" s="176"/>
      <c r="H8" s="266">
        <v>5480.6</v>
      </c>
      <c r="I8" s="266">
        <f>H8</f>
        <v>5480.6</v>
      </c>
      <c r="J8" s="195"/>
      <c r="K8" s="266">
        <v>55.76</v>
      </c>
      <c r="L8" s="196">
        <f>I8+J8-K8</f>
        <v>5424.84</v>
      </c>
      <c r="M8" s="294"/>
      <c r="N8" s="293">
        <f t="shared" si="0"/>
        <v>5424.84</v>
      </c>
      <c r="O8" s="197"/>
    </row>
    <row r="9" spans="2:16">
      <c r="B9" s="198">
        <v>3</v>
      </c>
      <c r="C9" s="198" t="s">
        <v>86</v>
      </c>
      <c r="D9" s="176" t="s">
        <v>87</v>
      </c>
      <c r="E9" s="176" t="s">
        <v>398</v>
      </c>
      <c r="F9" s="176" t="s">
        <v>399</v>
      </c>
      <c r="G9" s="176" t="s">
        <v>400</v>
      </c>
      <c r="H9" s="266">
        <v>2435.5500000000002</v>
      </c>
      <c r="I9" s="266">
        <f>H9</f>
        <v>2435.5500000000002</v>
      </c>
      <c r="J9" s="195">
        <v>276.87</v>
      </c>
      <c r="K9" s="266"/>
      <c r="L9" s="196">
        <f t="shared" ref="L9" si="1">I9+J9</f>
        <v>2712.42</v>
      </c>
      <c r="M9" s="294"/>
      <c r="N9" s="293">
        <f t="shared" si="0"/>
        <v>2712.42</v>
      </c>
      <c r="O9" s="197"/>
    </row>
    <row r="10" spans="2:16" ht="15.75" thickBot="1">
      <c r="B10" s="198"/>
      <c r="C10" s="176"/>
      <c r="D10" s="176"/>
      <c r="E10" s="176"/>
      <c r="F10" s="308"/>
      <c r="G10" s="176"/>
      <c r="H10" s="266"/>
      <c r="I10" s="266"/>
      <c r="J10" s="195"/>
      <c r="K10" s="266"/>
      <c r="L10" s="407"/>
      <c r="M10" s="303"/>
      <c r="N10" s="299">
        <f t="shared" si="0"/>
        <v>0</v>
      </c>
      <c r="O10" s="276"/>
      <c r="P10" t="s">
        <v>640</v>
      </c>
    </row>
    <row r="11" spans="2:16" ht="15.75" thickBot="1">
      <c r="B11" s="199" t="s">
        <v>401</v>
      </c>
      <c r="C11" s="200"/>
      <c r="D11" s="201"/>
      <c r="E11" s="201"/>
      <c r="F11" s="201"/>
      <c r="G11" s="201"/>
      <c r="H11" s="202">
        <f>SUM(H7:H10)</f>
        <v>13396.75</v>
      </c>
      <c r="I11" s="202">
        <f>SUM(I7:I10)</f>
        <v>13396.75</v>
      </c>
      <c r="J11" s="262">
        <f>SUM(J7:J10)</f>
        <v>276.87</v>
      </c>
      <c r="K11" s="292">
        <f>SUM(K7:K9)</f>
        <v>111.52</v>
      </c>
      <c r="L11" s="300">
        <f>SUM(L7:L10)</f>
        <v>13562.1</v>
      </c>
      <c r="M11" s="300">
        <f>SUM(M7:M10)</f>
        <v>0</v>
      </c>
      <c r="N11" s="301">
        <f>SUM(N7:N10)</f>
        <v>13562.1</v>
      </c>
    </row>
    <row r="12" spans="2:16">
      <c r="B12" s="203"/>
      <c r="C12" s="204"/>
      <c r="D12" s="201"/>
      <c r="E12" s="201"/>
      <c r="F12" s="201"/>
      <c r="G12" s="201"/>
      <c r="H12" s="205"/>
      <c r="I12" s="205"/>
      <c r="J12" s="201"/>
      <c r="K12" s="206"/>
      <c r="L12" s="205"/>
      <c r="M12" s="205"/>
      <c r="N12" s="205"/>
    </row>
    <row r="13" spans="2:16">
      <c r="B13" s="203"/>
      <c r="C13" s="204"/>
      <c r="D13" s="201"/>
      <c r="E13" s="201"/>
      <c r="F13" s="201"/>
      <c r="G13" s="201"/>
      <c r="H13" s="205"/>
      <c r="I13" s="205"/>
      <c r="J13" s="201"/>
      <c r="K13" s="206"/>
      <c r="L13" s="205"/>
      <c r="M13" s="205"/>
      <c r="N13" s="205"/>
    </row>
    <row r="14" spans="2:16">
      <c r="C14" s="207"/>
      <c r="D14" s="207"/>
      <c r="F14" s="715"/>
      <c r="G14" s="715"/>
      <c r="I14" s="715"/>
      <c r="J14" s="715"/>
      <c r="K14" s="715"/>
    </row>
    <row r="15" spans="2:16">
      <c r="C15" s="208" t="s">
        <v>765</v>
      </c>
      <c r="D15" s="208"/>
      <c r="E15" s="208"/>
      <c r="F15" s="208" t="s">
        <v>572</v>
      </c>
      <c r="G15" s="208"/>
      <c r="H15" s="208"/>
      <c r="I15" s="208" t="s">
        <v>684</v>
      </c>
      <c r="J15" s="209"/>
      <c r="K15" s="210"/>
    </row>
    <row r="16" spans="2:16">
      <c r="C16" s="208" t="s">
        <v>402</v>
      </c>
      <c r="D16" s="208"/>
      <c r="E16" s="208"/>
      <c r="F16" s="208" t="s">
        <v>403</v>
      </c>
      <c r="G16" s="208"/>
      <c r="H16" s="208"/>
      <c r="I16" s="208" t="s">
        <v>404</v>
      </c>
      <c r="J16" s="209"/>
      <c r="K16" s="209"/>
      <c r="L16" s="219"/>
      <c r="M16" s="219"/>
      <c r="N16" s="219"/>
    </row>
    <row r="17" spans="3:14">
      <c r="C17" s="208"/>
      <c r="D17" s="208"/>
      <c r="E17" s="208"/>
      <c r="F17" s="208"/>
      <c r="G17" s="208"/>
      <c r="H17" s="208"/>
      <c r="I17" s="208"/>
      <c r="J17" s="209"/>
      <c r="K17" s="209"/>
      <c r="L17" s="219"/>
      <c r="M17" s="219"/>
      <c r="N17" s="219"/>
    </row>
    <row r="18" spans="3:14">
      <c r="L18" s="219">
        <f>I11+J11-K11</f>
        <v>13562.1</v>
      </c>
      <c r="M18" s="219"/>
      <c r="N18" s="219">
        <f>L11-M11</f>
        <v>13562.1</v>
      </c>
    </row>
    <row r="19" spans="3:14">
      <c r="L19" s="219">
        <f>L11-L18</f>
        <v>0</v>
      </c>
      <c r="M19" s="219"/>
      <c r="N19" s="219"/>
    </row>
    <row r="26" spans="3:14">
      <c r="C26" s="596" t="s">
        <v>775</v>
      </c>
    </row>
  </sheetData>
  <mergeCells count="6">
    <mergeCell ref="B1:N1"/>
    <mergeCell ref="B2:D2"/>
    <mergeCell ref="H3:I3"/>
    <mergeCell ref="C4:E4"/>
    <mergeCell ref="F14:G14"/>
    <mergeCell ref="I14:K14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33" customWidth="1"/>
    <col min="15" max="15" width="11.42578125" customWidth="1"/>
  </cols>
  <sheetData>
    <row r="1" spans="1:12" ht="12.75" customHeight="1"/>
    <row r="2" spans="1:12" ht="12.75" customHeight="1">
      <c r="C2" s="692" t="s">
        <v>443</v>
      </c>
      <c r="D2" s="692"/>
      <c r="E2" s="692"/>
      <c r="G2" s="212" t="s">
        <v>444</v>
      </c>
    </row>
    <row r="3" spans="1:12" ht="15" customHeight="1">
      <c r="A3" s="212" t="s">
        <v>701</v>
      </c>
      <c r="B3" s="212"/>
      <c r="C3" s="212"/>
      <c r="D3" s="212"/>
      <c r="E3" s="212"/>
    </row>
    <row r="4" spans="1:12" ht="12.75" customHeight="1">
      <c r="A4" s="212">
        <v>2020</v>
      </c>
      <c r="B4" s="212"/>
      <c r="C4" s="692" t="s">
        <v>442</v>
      </c>
      <c r="D4" s="692"/>
      <c r="E4" s="692"/>
      <c r="G4" s="288">
        <v>0.52222222222222225</v>
      </c>
    </row>
    <row r="5" spans="1:12" ht="12.75" customHeight="1">
      <c r="A5" s="212"/>
      <c r="B5" s="212"/>
      <c r="C5" s="212"/>
      <c r="D5" s="212"/>
      <c r="E5" s="212"/>
    </row>
    <row r="6" spans="1:12" ht="12.75" customHeight="1"/>
    <row r="7" spans="1:12" ht="15.75" thickBot="1">
      <c r="A7" s="232" t="s">
        <v>441</v>
      </c>
      <c r="B7" s="232" t="s">
        <v>701</v>
      </c>
      <c r="C7" s="232" t="s">
        <v>702</v>
      </c>
      <c r="D7" s="212"/>
      <c r="E7" s="231" t="s">
        <v>438</v>
      </c>
      <c r="F7" s="231" t="s">
        <v>439</v>
      </c>
      <c r="G7" s="231" t="s">
        <v>440</v>
      </c>
      <c r="H7" s="244" t="s">
        <v>426</v>
      </c>
      <c r="J7" s="244" t="s">
        <v>524</v>
      </c>
    </row>
    <row r="8" spans="1:12">
      <c r="A8" s="223" t="s">
        <v>421</v>
      </c>
      <c r="B8" s="419">
        <f>C8*2</f>
        <v>247400</v>
      </c>
      <c r="C8" s="248">
        <f>REGIDORES!G18</f>
        <v>123700</v>
      </c>
      <c r="D8" s="217"/>
      <c r="E8" s="226">
        <f t="shared" ref="E8:E13" si="0">C8</f>
        <v>123700</v>
      </c>
      <c r="F8" s="227"/>
      <c r="G8" s="227"/>
    </row>
    <row r="9" spans="1:12">
      <c r="A9" s="223" t="s">
        <v>422</v>
      </c>
      <c r="B9" s="419">
        <f t="shared" ref="B9:B13" si="1">C9*2</f>
        <v>554536</v>
      </c>
      <c r="C9" s="248">
        <f>BASE!H187</f>
        <v>277268</v>
      </c>
      <c r="D9" s="217"/>
      <c r="E9" s="219">
        <f t="shared" si="0"/>
        <v>277268</v>
      </c>
    </row>
    <row r="10" spans="1:12">
      <c r="A10" s="223" t="s">
        <v>423</v>
      </c>
      <c r="B10" s="419">
        <f t="shared" si="1"/>
        <v>0</v>
      </c>
      <c r="C10" s="248"/>
      <c r="D10" s="217"/>
      <c r="E10" s="219">
        <f t="shared" si="0"/>
        <v>0</v>
      </c>
    </row>
    <row r="11" spans="1:12">
      <c r="A11" s="223" t="s">
        <v>424</v>
      </c>
      <c r="B11" s="419">
        <f t="shared" si="1"/>
        <v>0</v>
      </c>
      <c r="C11" s="248"/>
      <c r="D11" s="217"/>
      <c r="E11" s="219">
        <f t="shared" si="0"/>
        <v>0</v>
      </c>
    </row>
    <row r="12" spans="1:12">
      <c r="A12" s="223" t="s">
        <v>425</v>
      </c>
      <c r="B12" s="419">
        <f t="shared" si="1"/>
        <v>168162</v>
      </c>
      <c r="C12" s="248">
        <f>'NOMINA TRAB.EVENTUALES'!M35</f>
        <v>84081</v>
      </c>
      <c r="D12" s="217"/>
      <c r="E12" s="219">
        <f t="shared" si="0"/>
        <v>84081</v>
      </c>
    </row>
    <row r="13" spans="1:12">
      <c r="A13" s="223" t="s">
        <v>426</v>
      </c>
      <c r="B13" s="419">
        <f t="shared" si="1"/>
        <v>354990</v>
      </c>
      <c r="C13" s="248">
        <f>'NOMINA ORD. DE PAGO QUINCENAL'!I67</f>
        <v>177495</v>
      </c>
      <c r="D13" s="224"/>
      <c r="E13" s="220">
        <f t="shared" si="0"/>
        <v>177495</v>
      </c>
      <c r="J13" s="233"/>
    </row>
    <row r="14" spans="1:12">
      <c r="A14" s="223" t="s">
        <v>427</v>
      </c>
      <c r="B14" s="419">
        <f>C14</f>
        <v>26095</v>
      </c>
      <c r="C14" s="248">
        <f>'PAGO TRAB.MENSUALES'!J32</f>
        <v>26095</v>
      </c>
      <c r="D14" s="217"/>
      <c r="F14" s="219">
        <f>C14</f>
        <v>26095</v>
      </c>
    </row>
    <row r="15" spans="1:12">
      <c r="A15" s="223" t="s">
        <v>428</v>
      </c>
      <c r="B15" s="419">
        <f>C15</f>
        <v>20060.400000000001</v>
      </c>
      <c r="C15" s="166">
        <v>20060.400000000001</v>
      </c>
      <c r="D15" s="217"/>
      <c r="E15" s="233"/>
      <c r="F15" s="219"/>
      <c r="G15" s="219">
        <f>'PAGO SEMANAL'!C11</f>
        <v>5015.1000000000004</v>
      </c>
      <c r="H15" s="233"/>
    </row>
    <row r="16" spans="1:12">
      <c r="A16" s="223" t="s">
        <v>351</v>
      </c>
      <c r="B16" s="419">
        <f>C16*2</f>
        <v>47214</v>
      </c>
      <c r="C16" s="248">
        <f>'NOMINA PENSIONADOS'!K14</f>
        <v>23607</v>
      </c>
      <c r="D16" s="217"/>
      <c r="E16" s="219"/>
      <c r="L16" s="233">
        <v>20060.400000000001</v>
      </c>
    </row>
    <row r="17" spans="1:12" ht="15.75" thickBot="1">
      <c r="A17" s="223" t="s">
        <v>429</v>
      </c>
      <c r="B17" s="419" t="e">
        <f>C17</f>
        <v>#REF!</v>
      </c>
      <c r="C17" s="166" t="e">
        <f>#REF!</f>
        <v>#REF!</v>
      </c>
      <c r="D17" s="217"/>
      <c r="E17" s="228"/>
      <c r="F17" s="229" t="e">
        <f>C17</f>
        <v>#REF!</v>
      </c>
      <c r="G17" s="228"/>
      <c r="H17" s="311" t="e">
        <f>#REF!</f>
        <v>#REF!</v>
      </c>
      <c r="L17" s="233">
        <v>214092</v>
      </c>
    </row>
    <row r="18" spans="1:12" ht="15.75" thickTop="1">
      <c r="A18" s="223"/>
      <c r="B18" s="420" t="e">
        <f>SUM(B8:B17)</f>
        <v>#REF!</v>
      </c>
      <c r="C18" s="221" t="e">
        <f>SUM(C8:C17)</f>
        <v>#REF!</v>
      </c>
      <c r="D18" s="225"/>
      <c r="E18" s="222">
        <f>SUM(E8:E17)</f>
        <v>662544</v>
      </c>
      <c r="F18" s="222" t="e">
        <f>SUM(F8:F17)</f>
        <v>#REF!</v>
      </c>
      <c r="G18" s="222">
        <f>SUM(G8:G17)</f>
        <v>5015.1000000000004</v>
      </c>
      <c r="H18" s="312" t="e">
        <f>SUM(H8:H17)</f>
        <v>#REF!</v>
      </c>
      <c r="I18" s="219"/>
      <c r="L18" s="233">
        <v>595306</v>
      </c>
    </row>
    <row r="19" spans="1:12" ht="15.75" thickBot="1">
      <c r="C19" s="167"/>
      <c r="D19" s="167"/>
      <c r="L19" s="233">
        <v>160976.28</v>
      </c>
    </row>
    <row r="20" spans="1:12" ht="15.75" thickBot="1">
      <c r="F20" s="230" t="e">
        <f>E18+F18+G18</f>
        <v>#REF!</v>
      </c>
      <c r="L20" s="233">
        <v>52897.279999999999</v>
      </c>
    </row>
    <row r="21" spans="1:12">
      <c r="F21" s="219"/>
      <c r="L21" s="233">
        <v>364731.92</v>
      </c>
    </row>
    <row r="22" spans="1:12">
      <c r="C22" t="s">
        <v>522</v>
      </c>
      <c r="E22" s="219" t="e">
        <f>E8+E9+E12+E13+F14+G15+H15+E16+F17</f>
        <v>#REF!</v>
      </c>
      <c r="L22" s="233">
        <v>23990</v>
      </c>
    </row>
    <row r="23" spans="1:12">
      <c r="C23" s="207" t="s">
        <v>523</v>
      </c>
      <c r="D23" s="265"/>
      <c r="E23" s="265">
        <f>E10+E11</f>
        <v>0</v>
      </c>
      <c r="L23" s="233">
        <v>25762.080000000002</v>
      </c>
    </row>
    <row r="24" spans="1:12">
      <c r="D24" s="219"/>
      <c r="E24" s="310" t="e">
        <f>SUM(E22:E23)</f>
        <v>#REF!</v>
      </c>
      <c r="L24" s="233">
        <f>SUM(L16:L23)</f>
        <v>1457815.9600000002</v>
      </c>
    </row>
    <row r="25" spans="1:12">
      <c r="D25" s="219"/>
      <c r="E25" s="219"/>
    </row>
    <row r="26" spans="1:12">
      <c r="E26" s="219"/>
    </row>
    <row r="27" spans="1:12">
      <c r="E27" s="219"/>
    </row>
    <row r="28" spans="1:12">
      <c r="C28" s="207"/>
      <c r="D28" s="207"/>
      <c r="E28" s="265"/>
    </row>
    <row r="29" spans="1:12">
      <c r="E29" s="219"/>
    </row>
    <row r="31" spans="1:12">
      <c r="A31" s="213"/>
      <c r="E31" s="245"/>
      <c r="F31" s="219"/>
    </row>
    <row r="32" spans="1:12">
      <c r="A32" s="212"/>
      <c r="B32" s="212"/>
      <c r="C32" s="212"/>
      <c r="D32" s="212"/>
      <c r="E32" s="219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201"/>
  <sheetViews>
    <sheetView topLeftCell="A175" workbookViewId="0">
      <selection activeCell="B101" sqref="B101"/>
    </sheetView>
  </sheetViews>
  <sheetFormatPr baseColWidth="10" defaultRowHeight="11.25"/>
  <cols>
    <col min="1" max="1" width="2.140625" style="15" customWidth="1"/>
    <col min="2" max="2" width="6.42578125" style="35" customWidth="1"/>
    <col min="3" max="3" width="32.5703125" style="15" customWidth="1"/>
    <col min="4" max="4" width="27.42578125" style="15" customWidth="1"/>
    <col min="5" max="5" width="12.140625" style="322" hidden="1" customWidth="1"/>
    <col min="6" max="6" width="13.5703125" style="15" customWidth="1"/>
    <col min="7" max="7" width="10.85546875" style="15" customWidth="1"/>
    <col min="8" max="8" width="15.5703125" style="15" customWidth="1"/>
    <col min="9" max="9" width="9.42578125" style="15" customWidth="1"/>
    <col min="10" max="10" width="11.7109375" style="15" customWidth="1"/>
    <col min="11" max="12" width="12.42578125" style="15" customWidth="1"/>
    <col min="13" max="13" width="16.5703125" style="15" customWidth="1"/>
    <col min="14" max="14" width="36.42578125" style="15" customWidth="1"/>
    <col min="15" max="16384" width="11.42578125" style="15"/>
  </cols>
  <sheetData>
    <row r="1" spans="1:18" ht="15">
      <c r="B1" s="17"/>
      <c r="C1" s="636" t="s">
        <v>28</v>
      </c>
      <c r="D1" s="636"/>
      <c r="E1" s="636"/>
      <c r="F1" s="637"/>
      <c r="G1" s="637"/>
      <c r="H1" s="637"/>
      <c r="I1" s="637"/>
      <c r="J1" s="151"/>
    </row>
    <row r="2" spans="1:18" ht="19.5">
      <c r="B2" s="640" t="s">
        <v>206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P2" s="259">
        <f t="shared" ref="P2:P63" si="0">M2-O2</f>
        <v>0</v>
      </c>
    </row>
    <row r="3" spans="1:18" ht="15">
      <c r="B3" s="641" t="s">
        <v>777</v>
      </c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P3" s="259">
        <f t="shared" si="0"/>
        <v>0</v>
      </c>
    </row>
    <row r="4" spans="1:18" ht="12.75">
      <c r="B4" s="16"/>
      <c r="C4" s="18" t="s">
        <v>0</v>
      </c>
      <c r="D4" s="18"/>
      <c r="E4" s="313"/>
      <c r="F4" s="3"/>
      <c r="G4" s="3"/>
      <c r="H4" s="3"/>
      <c r="I4" s="3"/>
      <c r="J4" s="3"/>
      <c r="K4" s="3"/>
      <c r="L4" s="3"/>
      <c r="M4" s="3"/>
      <c r="N4" s="3"/>
      <c r="P4" s="259">
        <f t="shared" si="0"/>
        <v>0</v>
      </c>
    </row>
    <row r="5" spans="1:18" ht="32.25" customHeight="1">
      <c r="B5" s="515" t="s">
        <v>1</v>
      </c>
      <c r="C5" s="456" t="s">
        <v>2</v>
      </c>
      <c r="D5" s="456" t="s">
        <v>219</v>
      </c>
      <c r="E5" s="457"/>
      <c r="F5" s="456" t="s">
        <v>3</v>
      </c>
      <c r="G5" s="456" t="s">
        <v>4</v>
      </c>
      <c r="H5" s="456" t="s">
        <v>5</v>
      </c>
      <c r="I5" s="456" t="s">
        <v>634</v>
      </c>
      <c r="J5" s="456" t="s">
        <v>560</v>
      </c>
      <c r="K5" s="456" t="s">
        <v>43</v>
      </c>
      <c r="L5" s="456" t="s">
        <v>6</v>
      </c>
      <c r="M5" s="456" t="s">
        <v>7</v>
      </c>
      <c r="N5" s="456" t="s">
        <v>29</v>
      </c>
      <c r="P5" s="259"/>
    </row>
    <row r="6" spans="1:18" ht="18" customHeight="1">
      <c r="B6" s="19" t="s">
        <v>10</v>
      </c>
      <c r="C6" s="3"/>
      <c r="D6" s="3"/>
      <c r="E6" s="314"/>
      <c r="F6" s="3"/>
      <c r="G6" s="3"/>
      <c r="H6" s="3"/>
      <c r="I6" s="3"/>
      <c r="J6" s="3"/>
      <c r="K6" s="3"/>
      <c r="L6" s="3"/>
      <c r="M6" s="3"/>
      <c r="N6" s="3"/>
      <c r="P6" s="259"/>
    </row>
    <row r="7" spans="1:18" ht="30" customHeight="1">
      <c r="B7" s="16" t="s">
        <v>260</v>
      </c>
      <c r="C7" s="3" t="s">
        <v>587</v>
      </c>
      <c r="D7" s="8" t="s">
        <v>222</v>
      </c>
      <c r="E7" s="315">
        <f>9692/2</f>
        <v>4846</v>
      </c>
      <c r="F7" s="10">
        <v>5040</v>
      </c>
      <c r="G7" s="10">
        <v>0</v>
      </c>
      <c r="H7" s="10">
        <f>F7</f>
        <v>5040</v>
      </c>
      <c r="I7" s="451"/>
      <c r="J7" s="10"/>
      <c r="K7" s="10">
        <v>423</v>
      </c>
      <c r="L7" s="10">
        <f>K7</f>
        <v>423</v>
      </c>
      <c r="M7" s="10">
        <f>H7+I7-L7-J7</f>
        <v>4617</v>
      </c>
      <c r="N7" s="3"/>
      <c r="P7" s="259"/>
      <c r="R7" s="15">
        <v>26270.560000000001</v>
      </c>
    </row>
    <row r="8" spans="1:18" s="583" customFormat="1" ht="30" customHeight="1">
      <c r="A8" s="15"/>
      <c r="B8" s="16" t="s">
        <v>261</v>
      </c>
      <c r="C8" s="3" t="s">
        <v>760</v>
      </c>
      <c r="D8" s="8" t="s">
        <v>223</v>
      </c>
      <c r="E8" s="315">
        <f>51014/2</f>
        <v>25507</v>
      </c>
      <c r="F8" s="10">
        <v>26527</v>
      </c>
      <c r="G8" s="10">
        <v>0</v>
      </c>
      <c r="H8" s="10">
        <f>F8</f>
        <v>26527</v>
      </c>
      <c r="I8" s="10"/>
      <c r="J8" s="10"/>
      <c r="K8" s="10">
        <v>5567</v>
      </c>
      <c r="L8" s="10">
        <f t="shared" ref="L8" si="1">K8</f>
        <v>5567</v>
      </c>
      <c r="M8" s="10">
        <f>H8+I8-L8-J8</f>
        <v>20960</v>
      </c>
      <c r="N8" s="3"/>
      <c r="O8" s="15" t="s">
        <v>764</v>
      </c>
      <c r="P8" s="259"/>
      <c r="Q8" s="15"/>
      <c r="R8" s="15">
        <v>8802</v>
      </c>
    </row>
    <row r="9" spans="1:18" s="21" customFormat="1" ht="24.95" customHeight="1" thickBot="1">
      <c r="B9" s="537" t="s">
        <v>9</v>
      </c>
      <c r="C9" s="538"/>
      <c r="D9" s="538"/>
      <c r="E9" s="539"/>
      <c r="F9" s="566">
        <f t="shared" ref="F9:M9" si="2">SUM(F7:F8)</f>
        <v>31567</v>
      </c>
      <c r="G9" s="566">
        <f t="shared" si="2"/>
        <v>0</v>
      </c>
      <c r="H9" s="566">
        <f t="shared" si="2"/>
        <v>31567</v>
      </c>
      <c r="I9" s="566">
        <f t="shared" si="2"/>
        <v>0</v>
      </c>
      <c r="J9" s="613">
        <f>SUM(J7:J8)</f>
        <v>0</v>
      </c>
      <c r="K9" s="566">
        <f t="shared" si="2"/>
        <v>5990</v>
      </c>
      <c r="L9" s="566">
        <f t="shared" si="2"/>
        <v>5990</v>
      </c>
      <c r="M9" s="542">
        <f t="shared" si="2"/>
        <v>25577</v>
      </c>
      <c r="N9" s="564"/>
      <c r="O9" s="256">
        <f>H9+I9-L9</f>
        <v>25577</v>
      </c>
      <c r="P9" s="259">
        <f t="shared" si="0"/>
        <v>0</v>
      </c>
      <c r="R9" s="21">
        <v>4758.59</v>
      </c>
    </row>
    <row r="10" spans="1:18" ht="18" customHeight="1" thickTop="1">
      <c r="B10" s="533"/>
      <c r="C10" s="38"/>
      <c r="D10" s="38"/>
      <c r="E10" s="320"/>
      <c r="F10" s="39"/>
      <c r="G10" s="39"/>
      <c r="H10" s="39"/>
      <c r="I10" s="39"/>
      <c r="J10" s="39"/>
      <c r="K10" s="39"/>
      <c r="L10" s="39"/>
      <c r="M10" s="40" t="s">
        <v>46</v>
      </c>
      <c r="N10" s="38"/>
      <c r="P10" s="259"/>
      <c r="R10" s="15">
        <v>16890.93</v>
      </c>
    </row>
    <row r="11" spans="1:18" ht="18" customHeight="1">
      <c r="B11" s="531" t="s">
        <v>11</v>
      </c>
      <c r="C11" s="291"/>
      <c r="D11" s="291"/>
      <c r="E11" s="532"/>
      <c r="F11" s="291"/>
      <c r="G11" s="291"/>
      <c r="H11" s="291"/>
      <c r="I11" s="291"/>
      <c r="J11" s="291"/>
      <c r="K11" s="291"/>
      <c r="L11" s="291"/>
      <c r="M11" s="291"/>
      <c r="N11" s="291"/>
      <c r="P11" s="259"/>
      <c r="R11" s="15">
        <v>7669.53</v>
      </c>
    </row>
    <row r="12" spans="1:18" ht="30" customHeight="1">
      <c r="B12" s="16" t="s">
        <v>262</v>
      </c>
      <c r="C12" s="3" t="s">
        <v>31</v>
      </c>
      <c r="D12" s="8" t="s">
        <v>539</v>
      </c>
      <c r="E12" s="315">
        <f>4592/2</f>
        <v>2296</v>
      </c>
      <c r="F12" s="9">
        <v>2388</v>
      </c>
      <c r="G12" s="9">
        <v>0</v>
      </c>
      <c r="H12" s="9">
        <f>F12</f>
        <v>2388</v>
      </c>
      <c r="I12" s="11">
        <v>24.04</v>
      </c>
      <c r="J12" s="11"/>
      <c r="K12" s="9"/>
      <c r="L12" s="9">
        <f>K12</f>
        <v>0</v>
      </c>
      <c r="M12" s="9">
        <f>H12+I12-L12-J12</f>
        <v>2412.04</v>
      </c>
      <c r="N12" s="3"/>
      <c r="P12" s="259"/>
      <c r="R12" s="15">
        <v>7335.92</v>
      </c>
    </row>
    <row r="13" spans="1:18" ht="30" customHeight="1">
      <c r="B13" s="16" t="s">
        <v>263</v>
      </c>
      <c r="C13" s="249" t="s">
        <v>528</v>
      </c>
      <c r="D13" s="8" t="s">
        <v>224</v>
      </c>
      <c r="E13" s="315">
        <f>15618/2</f>
        <v>7809</v>
      </c>
      <c r="F13" s="9">
        <v>8121</v>
      </c>
      <c r="G13" s="9">
        <v>0</v>
      </c>
      <c r="H13" s="9">
        <f>F13</f>
        <v>8121</v>
      </c>
      <c r="I13" s="9"/>
      <c r="J13" s="9"/>
      <c r="K13" s="9">
        <v>1014</v>
      </c>
      <c r="L13" s="9">
        <f>K13</f>
        <v>1014</v>
      </c>
      <c r="M13" s="9">
        <f>H13+I13-L13-J13</f>
        <v>7107</v>
      </c>
      <c r="N13" s="3"/>
      <c r="P13" s="259"/>
    </row>
    <row r="14" spans="1:18" s="21" customFormat="1" ht="18" customHeight="1" thickBot="1">
      <c r="B14" s="521" t="s">
        <v>9</v>
      </c>
      <c r="C14" s="538"/>
      <c r="D14" s="538"/>
      <c r="E14" s="539"/>
      <c r="F14" s="566">
        <f>SUM(F12:F13)</f>
        <v>10509</v>
      </c>
      <c r="G14" s="566">
        <f t="shared" ref="G14" si="3">SUM(G12:G13)</f>
        <v>0</v>
      </c>
      <c r="H14" s="566">
        <f t="shared" ref="H14:M14" si="4">SUM(H12:H13)</f>
        <v>10509</v>
      </c>
      <c r="I14" s="566">
        <f t="shared" si="4"/>
        <v>24.04</v>
      </c>
      <c r="J14" s="566">
        <f t="shared" si="4"/>
        <v>0</v>
      </c>
      <c r="K14" s="566">
        <f t="shared" si="4"/>
        <v>1014</v>
      </c>
      <c r="L14" s="566">
        <f t="shared" si="4"/>
        <v>1014</v>
      </c>
      <c r="M14" s="542">
        <f t="shared" si="4"/>
        <v>9519.0400000000009</v>
      </c>
      <c r="N14" s="564"/>
      <c r="O14" s="256">
        <f>H14+I14-L14</f>
        <v>9519.0400000000009</v>
      </c>
      <c r="P14" s="259">
        <f t="shared" si="0"/>
        <v>0</v>
      </c>
    </row>
    <row r="15" spans="1:18" ht="18" customHeight="1" thickTop="1">
      <c r="B15" s="534"/>
      <c r="C15" s="38"/>
      <c r="E15" s="318"/>
      <c r="F15" s="12"/>
      <c r="G15" s="12"/>
      <c r="H15" s="12"/>
      <c r="I15" s="13"/>
      <c r="J15" s="13"/>
      <c r="K15" s="12"/>
      <c r="L15" s="12"/>
      <c r="M15" s="14" t="s">
        <v>46</v>
      </c>
      <c r="O15" s="255"/>
      <c r="P15" s="259"/>
    </row>
    <row r="16" spans="1:18" ht="18" customHeight="1">
      <c r="B16" s="531" t="s">
        <v>12</v>
      </c>
      <c r="C16" s="535"/>
      <c r="D16" s="536"/>
      <c r="E16" s="530"/>
      <c r="F16" s="529"/>
      <c r="G16" s="529"/>
      <c r="H16" s="529"/>
      <c r="I16" s="529"/>
      <c r="J16" s="529"/>
      <c r="K16" s="529"/>
      <c r="L16" s="529"/>
      <c r="M16" s="529"/>
      <c r="N16" s="32"/>
      <c r="P16" s="259"/>
    </row>
    <row r="17" spans="2:16" ht="30" customHeight="1">
      <c r="B17" s="16" t="s">
        <v>264</v>
      </c>
      <c r="C17" s="3" t="s">
        <v>42</v>
      </c>
      <c r="D17" s="523" t="s">
        <v>225</v>
      </c>
      <c r="E17" s="524">
        <f>10942/2</f>
        <v>5471</v>
      </c>
      <c r="F17" s="525">
        <v>5690</v>
      </c>
      <c r="G17" s="525">
        <v>0</v>
      </c>
      <c r="H17" s="525">
        <f>F17</f>
        <v>5690</v>
      </c>
      <c r="I17" s="525"/>
      <c r="J17" s="525"/>
      <c r="K17" s="525">
        <v>529</v>
      </c>
      <c r="L17" s="525">
        <f>K17</f>
        <v>529</v>
      </c>
      <c r="M17" s="525">
        <f>H17+I17-L17-J17</f>
        <v>5161</v>
      </c>
      <c r="N17" s="291"/>
      <c r="P17" s="259"/>
    </row>
    <row r="18" spans="2:16" s="21" customFormat="1" ht="18" customHeight="1" thickBot="1">
      <c r="B18" s="20" t="s">
        <v>9</v>
      </c>
      <c r="C18" s="538"/>
      <c r="D18" s="538"/>
      <c r="E18" s="539"/>
      <c r="F18" s="566">
        <f>SUM(F17)</f>
        <v>5690</v>
      </c>
      <c r="G18" s="566">
        <f t="shared" ref="G18:L18" si="5">SUM(G17)</f>
        <v>0</v>
      </c>
      <c r="H18" s="566">
        <f>SUM(H17)</f>
        <v>5690</v>
      </c>
      <c r="I18" s="566">
        <f t="shared" si="5"/>
        <v>0</v>
      </c>
      <c r="J18" s="566">
        <f>SUM(J17)</f>
        <v>0</v>
      </c>
      <c r="K18" s="566">
        <f>SUM(K17)</f>
        <v>529</v>
      </c>
      <c r="L18" s="566">
        <f t="shared" si="5"/>
        <v>529</v>
      </c>
      <c r="M18" s="542">
        <f>SUM(M17)</f>
        <v>5161</v>
      </c>
      <c r="N18" s="564"/>
      <c r="O18" s="256">
        <f>H18+I18-L18</f>
        <v>5161</v>
      </c>
      <c r="P18" s="259">
        <f t="shared" si="0"/>
        <v>0</v>
      </c>
    </row>
    <row r="19" spans="2:16" ht="18" customHeight="1" thickTop="1">
      <c r="C19" s="151"/>
      <c r="E19" s="318"/>
      <c r="F19" s="12"/>
      <c r="G19" s="12"/>
      <c r="H19" s="12"/>
      <c r="I19" s="12"/>
      <c r="J19" s="12"/>
      <c r="K19" s="12"/>
      <c r="L19" s="12"/>
      <c r="M19" s="14" t="s">
        <v>46</v>
      </c>
      <c r="P19" s="259"/>
    </row>
    <row r="20" spans="2:16" ht="18" customHeight="1">
      <c r="E20" s="318"/>
      <c r="J20" s="122"/>
      <c r="P20" s="259"/>
    </row>
    <row r="21" spans="2:16" ht="18" customHeight="1">
      <c r="B21" s="528" t="s">
        <v>13</v>
      </c>
      <c r="C21" s="529"/>
      <c r="D21" s="529"/>
      <c r="E21" s="530"/>
      <c r="F21" s="529"/>
      <c r="G21" s="529"/>
      <c r="H21" s="529"/>
      <c r="I21" s="529"/>
      <c r="J21" s="529"/>
      <c r="K21" s="529"/>
      <c r="L21" s="529"/>
      <c r="M21" s="529"/>
      <c r="N21" s="529"/>
      <c r="P21" s="259"/>
    </row>
    <row r="22" spans="2:16" ht="5.25" customHeight="1">
      <c r="B22" s="522"/>
      <c r="C22" s="291"/>
      <c r="D22" s="523"/>
      <c r="E22" s="524"/>
      <c r="F22" s="525"/>
      <c r="G22" s="525"/>
      <c r="H22" s="525"/>
      <c r="I22" s="526"/>
      <c r="J22" s="527"/>
      <c r="K22" s="525"/>
      <c r="L22" s="525"/>
      <c r="M22" s="525"/>
      <c r="N22" s="291"/>
      <c r="P22" s="259"/>
    </row>
    <row r="23" spans="2:16" ht="30" customHeight="1">
      <c r="B23" s="16" t="s">
        <v>265</v>
      </c>
      <c r="C23" s="3" t="s">
        <v>417</v>
      </c>
      <c r="D23" s="8" t="s">
        <v>226</v>
      </c>
      <c r="E23" s="315">
        <f>15618/2</f>
        <v>7809</v>
      </c>
      <c r="F23" s="9">
        <v>8121</v>
      </c>
      <c r="G23" s="9">
        <v>0</v>
      </c>
      <c r="H23" s="9">
        <f>F23</f>
        <v>8121</v>
      </c>
      <c r="I23" s="9"/>
      <c r="J23" s="9"/>
      <c r="K23" s="9">
        <v>1014</v>
      </c>
      <c r="L23" s="9">
        <f t="shared" ref="L23" si="6">K23</f>
        <v>1014</v>
      </c>
      <c r="M23" s="9">
        <f>H23+I23-L23-J23</f>
        <v>7107</v>
      </c>
      <c r="N23" s="3"/>
      <c r="P23" s="259"/>
    </row>
    <row r="24" spans="2:16" s="21" customFormat="1" ht="18" customHeight="1" thickBot="1">
      <c r="B24" s="563" t="s">
        <v>9</v>
      </c>
      <c r="C24" s="564"/>
      <c r="D24" s="564"/>
      <c r="E24" s="565"/>
      <c r="F24" s="566">
        <f>SUM(F22:F23)</f>
        <v>8121</v>
      </c>
      <c r="G24" s="566">
        <f t="shared" ref="G24:M24" si="7">SUM(G22:G23)</f>
        <v>0</v>
      </c>
      <c r="H24" s="566">
        <f t="shared" si="7"/>
        <v>8121</v>
      </c>
      <c r="I24" s="566">
        <f t="shared" si="7"/>
        <v>0</v>
      </c>
      <c r="J24" s="566">
        <f t="shared" si="7"/>
        <v>0</v>
      </c>
      <c r="K24" s="566">
        <f t="shared" si="7"/>
        <v>1014</v>
      </c>
      <c r="L24" s="566">
        <f t="shared" si="7"/>
        <v>1014</v>
      </c>
      <c r="M24" s="542">
        <f t="shared" si="7"/>
        <v>7107</v>
      </c>
      <c r="N24" s="564"/>
      <c r="O24" s="256">
        <f>H24+I24-L24-J24</f>
        <v>7107</v>
      </c>
      <c r="P24" s="259">
        <f t="shared" si="0"/>
        <v>0</v>
      </c>
    </row>
    <row r="25" spans="2:16" ht="18" customHeight="1" thickTop="1">
      <c r="E25" s="318"/>
      <c r="F25" s="12"/>
      <c r="G25" s="12"/>
      <c r="H25" s="12"/>
      <c r="I25" s="13"/>
      <c r="J25" s="13"/>
      <c r="K25" s="12"/>
      <c r="L25" s="12"/>
      <c r="M25" s="14" t="s">
        <v>46</v>
      </c>
      <c r="P25" s="259"/>
    </row>
    <row r="26" spans="2:16" ht="18" customHeight="1">
      <c r="C26" s="642"/>
      <c r="D26" s="642"/>
      <c r="E26" s="642"/>
      <c r="F26" s="637"/>
      <c r="G26" s="637"/>
      <c r="H26" s="637"/>
      <c r="I26" s="637"/>
      <c r="J26" s="151"/>
      <c r="P26" s="259"/>
    </row>
    <row r="27" spans="2:16" ht="18" customHeight="1">
      <c r="B27" s="643" t="s">
        <v>206</v>
      </c>
      <c r="C27" s="644"/>
      <c r="D27" s="644"/>
      <c r="E27" s="644"/>
      <c r="F27" s="644"/>
      <c r="G27" s="644"/>
      <c r="H27" s="644"/>
      <c r="I27" s="644"/>
      <c r="J27" s="644"/>
      <c r="K27" s="644"/>
      <c r="L27" s="644"/>
      <c r="M27" s="644"/>
      <c r="N27" s="645"/>
      <c r="P27" s="259"/>
    </row>
    <row r="28" spans="2:16" ht="18" customHeight="1">
      <c r="B28" s="626" t="s">
        <v>778</v>
      </c>
      <c r="C28" s="627"/>
      <c r="D28" s="627"/>
      <c r="E28" s="627"/>
      <c r="F28" s="627"/>
      <c r="G28" s="627"/>
      <c r="H28" s="627"/>
      <c r="I28" s="627"/>
      <c r="J28" s="627"/>
      <c r="K28" s="627"/>
      <c r="L28" s="627"/>
      <c r="M28" s="627"/>
      <c r="N28" s="628"/>
      <c r="P28" s="259"/>
    </row>
    <row r="29" spans="2:16" ht="18" customHeight="1">
      <c r="B29" s="24"/>
      <c r="C29" s="25" t="s">
        <v>0</v>
      </c>
      <c r="D29" s="25"/>
      <c r="E29" s="316"/>
      <c r="N29" s="26"/>
      <c r="P29" s="259"/>
    </row>
    <row r="30" spans="2:16" ht="18" customHeight="1">
      <c r="B30" s="30" t="s">
        <v>542</v>
      </c>
      <c r="C30" s="25"/>
      <c r="D30" s="25"/>
      <c r="E30" s="316"/>
      <c r="N30" s="26"/>
      <c r="P30" s="259"/>
    </row>
    <row r="31" spans="2:16" ht="34.5" thickBot="1">
      <c r="B31" s="514" t="s">
        <v>1</v>
      </c>
      <c r="C31" s="458" t="s">
        <v>2</v>
      </c>
      <c r="D31" s="458"/>
      <c r="E31" s="459"/>
      <c r="F31" s="458" t="s">
        <v>3</v>
      </c>
      <c r="G31" s="458" t="s">
        <v>4</v>
      </c>
      <c r="H31" s="458" t="s">
        <v>5</v>
      </c>
      <c r="I31" s="458" t="s">
        <v>44</v>
      </c>
      <c r="J31" s="458" t="s">
        <v>561</v>
      </c>
      <c r="K31" s="458" t="s">
        <v>43</v>
      </c>
      <c r="L31" s="458" t="s">
        <v>6</v>
      </c>
      <c r="M31" s="458" t="s">
        <v>7</v>
      </c>
      <c r="N31" s="460" t="s">
        <v>29</v>
      </c>
      <c r="P31" s="259"/>
    </row>
    <row r="32" spans="2:16" ht="11.25" customHeight="1" thickTop="1">
      <c r="B32" s="16"/>
      <c r="C32" s="261"/>
      <c r="D32" s="8"/>
      <c r="E32" s="315">
        <f>7370/2</f>
        <v>3685</v>
      </c>
      <c r="F32" s="9"/>
      <c r="G32" s="306"/>
      <c r="H32" s="9"/>
      <c r="I32" s="11"/>
      <c r="J32" s="11"/>
      <c r="K32" s="9"/>
      <c r="L32" s="9"/>
      <c r="M32" s="9"/>
      <c r="N32" s="27"/>
      <c r="P32" s="259"/>
    </row>
    <row r="33" spans="2:16" ht="30" customHeight="1">
      <c r="B33" s="16" t="s">
        <v>266</v>
      </c>
      <c r="C33" s="3" t="s">
        <v>586</v>
      </c>
      <c r="D33" s="8" t="s">
        <v>227</v>
      </c>
      <c r="E33" s="315">
        <f>10384/2</f>
        <v>5192</v>
      </c>
      <c r="F33" s="9">
        <v>5400</v>
      </c>
      <c r="G33" s="9">
        <v>0</v>
      </c>
      <c r="H33" s="9">
        <f>F33</f>
        <v>5400</v>
      </c>
      <c r="I33" s="9"/>
      <c r="J33" s="9"/>
      <c r="K33" s="9">
        <v>481</v>
      </c>
      <c r="L33" s="9">
        <f>K33</f>
        <v>481</v>
      </c>
      <c r="M33" s="9">
        <f>H33-L33</f>
        <v>4919</v>
      </c>
      <c r="N33" s="26"/>
      <c r="O33" s="444"/>
      <c r="P33" s="445"/>
    </row>
    <row r="34" spans="2:16" s="21" customFormat="1" ht="18" customHeight="1" thickBot="1">
      <c r="B34" s="28" t="s">
        <v>9</v>
      </c>
      <c r="C34" s="29"/>
      <c r="D34" s="29"/>
      <c r="E34" s="317"/>
      <c r="F34" s="512">
        <f>SUM(F32:F33)</f>
        <v>5400</v>
      </c>
      <c r="G34" s="512">
        <f t="shared" ref="G34:L34" si="8">SUM(G32:G33)</f>
        <v>0</v>
      </c>
      <c r="H34" s="512">
        <f>SUM(H32:H33)</f>
        <v>5400</v>
      </c>
      <c r="I34" s="512">
        <f t="shared" si="8"/>
        <v>0</v>
      </c>
      <c r="J34" s="512">
        <f>SUM(J32:J33)</f>
        <v>0</v>
      </c>
      <c r="K34" s="512">
        <f>SUM(K32:K33)</f>
        <v>481</v>
      </c>
      <c r="L34" s="512">
        <f t="shared" si="8"/>
        <v>481</v>
      </c>
      <c r="M34" s="211">
        <f>SUM(M32:M33)</f>
        <v>4919</v>
      </c>
      <c r="N34" s="555"/>
      <c r="O34" s="256">
        <f>H34+I34-L34</f>
        <v>4919</v>
      </c>
      <c r="P34" s="259">
        <f t="shared" si="0"/>
        <v>0</v>
      </c>
    </row>
    <row r="35" spans="2:16" ht="18" customHeight="1" thickTop="1">
      <c r="B35" s="24"/>
      <c r="E35" s="318"/>
      <c r="F35" s="12"/>
      <c r="G35" s="12"/>
      <c r="H35" s="12"/>
      <c r="I35" s="13"/>
      <c r="J35" s="13"/>
      <c r="K35" s="12"/>
      <c r="L35" s="12"/>
      <c r="M35" s="14" t="s">
        <v>46</v>
      </c>
      <c r="N35" s="26"/>
      <c r="P35" s="259"/>
    </row>
    <row r="36" spans="2:16" ht="18" customHeight="1">
      <c r="B36" s="30" t="s">
        <v>14</v>
      </c>
      <c r="E36" s="318"/>
      <c r="N36" s="26"/>
      <c r="P36" s="259"/>
    </row>
    <row r="37" spans="2:16" ht="30" customHeight="1">
      <c r="B37" s="16" t="s">
        <v>267</v>
      </c>
      <c r="C37" s="3" t="s">
        <v>210</v>
      </c>
      <c r="D37" s="8" t="s">
        <v>228</v>
      </c>
      <c r="E37" s="315">
        <f>5948/2</f>
        <v>2974</v>
      </c>
      <c r="F37" s="9">
        <v>3093</v>
      </c>
      <c r="G37" s="9">
        <v>0</v>
      </c>
      <c r="H37" s="9">
        <f>F37</f>
        <v>3093</v>
      </c>
      <c r="I37" s="11"/>
      <c r="J37" s="11"/>
      <c r="K37" s="9">
        <v>52</v>
      </c>
      <c r="L37" s="9">
        <f>K37</f>
        <v>52</v>
      </c>
      <c r="M37" s="9">
        <f>H37+I37-L37-J37</f>
        <v>3041</v>
      </c>
      <c r="N37" s="26"/>
      <c r="P37" s="259"/>
    </row>
    <row r="38" spans="2:16" ht="30" customHeight="1">
      <c r="B38" s="16" t="s">
        <v>268</v>
      </c>
      <c r="C38" s="3" t="s">
        <v>588</v>
      </c>
      <c r="D38" s="8" t="s">
        <v>229</v>
      </c>
      <c r="E38" s="315">
        <f>10384/2</f>
        <v>5192</v>
      </c>
      <c r="F38" s="9">
        <v>5400</v>
      </c>
      <c r="G38" s="9">
        <v>0</v>
      </c>
      <c r="H38" s="9">
        <f>F38</f>
        <v>5400</v>
      </c>
      <c r="I38" s="9"/>
      <c r="J38" s="9"/>
      <c r="K38" s="9">
        <v>481</v>
      </c>
      <c r="L38" s="9">
        <f>K38</f>
        <v>481</v>
      </c>
      <c r="M38" s="9">
        <f>H38+I38-L38-J38</f>
        <v>4919</v>
      </c>
      <c r="N38" s="31"/>
      <c r="P38" s="259"/>
    </row>
    <row r="39" spans="2:16" s="21" customFormat="1" ht="18" customHeight="1" thickBot="1">
      <c r="B39" s="28" t="s">
        <v>9</v>
      </c>
      <c r="C39" s="29"/>
      <c r="D39" s="29"/>
      <c r="E39" s="317"/>
      <c r="F39" s="512">
        <f>SUM(F37:F38)</f>
        <v>8493</v>
      </c>
      <c r="G39" s="512">
        <f t="shared" ref="G39:L39" si="9">SUM(G37:G38)</f>
        <v>0</v>
      </c>
      <c r="H39" s="512">
        <f>SUM(H37:H38)</f>
        <v>8493</v>
      </c>
      <c r="I39" s="512">
        <f t="shared" si="9"/>
        <v>0</v>
      </c>
      <c r="J39" s="512">
        <f>SUM(J37:J38)</f>
        <v>0</v>
      </c>
      <c r="K39" s="512">
        <f>SUM(K37:K38)</f>
        <v>533</v>
      </c>
      <c r="L39" s="512">
        <f t="shared" si="9"/>
        <v>533</v>
      </c>
      <c r="M39" s="211">
        <f>SUM(M37:M38)</f>
        <v>7960</v>
      </c>
      <c r="N39" s="555"/>
      <c r="O39" s="256">
        <f>H39+I39-L39</f>
        <v>7960</v>
      </c>
      <c r="P39" s="259">
        <f t="shared" si="0"/>
        <v>0</v>
      </c>
    </row>
    <row r="40" spans="2:16" ht="18" customHeight="1" thickTop="1">
      <c r="B40" s="24"/>
      <c r="E40" s="318"/>
      <c r="F40" s="12"/>
      <c r="G40" s="12"/>
      <c r="H40" s="12"/>
      <c r="I40" s="13"/>
      <c r="J40" s="13"/>
      <c r="K40" s="12"/>
      <c r="L40" s="12"/>
      <c r="M40" s="14" t="s">
        <v>46</v>
      </c>
      <c r="N40" s="26"/>
      <c r="P40" s="259"/>
    </row>
    <row r="41" spans="2:16" ht="18" customHeight="1">
      <c r="B41" s="24"/>
      <c r="E41" s="318"/>
      <c r="N41" s="26"/>
      <c r="P41" s="259"/>
    </row>
    <row r="42" spans="2:16" ht="18" customHeight="1">
      <c r="B42" s="30" t="s">
        <v>15</v>
      </c>
      <c r="E42" s="318"/>
      <c r="N42" s="26"/>
      <c r="P42" s="259"/>
    </row>
    <row r="43" spans="2:16" ht="30" customHeight="1">
      <c r="B43" s="16" t="s">
        <v>269</v>
      </c>
      <c r="C43" s="3" t="s">
        <v>535</v>
      </c>
      <c r="D43" s="8" t="s">
        <v>230</v>
      </c>
      <c r="E43" s="315">
        <f>17430/2</f>
        <v>8715</v>
      </c>
      <c r="F43" s="9">
        <v>9063</v>
      </c>
      <c r="G43" s="9">
        <v>0</v>
      </c>
      <c r="H43" s="9">
        <f>F43</f>
        <v>9063</v>
      </c>
      <c r="I43" s="9"/>
      <c r="J43" s="584">
        <v>1000</v>
      </c>
      <c r="K43" s="9">
        <v>1215</v>
      </c>
      <c r="L43" s="9">
        <f>K43+J43</f>
        <v>2215</v>
      </c>
      <c r="M43" s="9">
        <f>H43+I43-L43</f>
        <v>6848</v>
      </c>
      <c r="N43" s="291"/>
      <c r="O43" s="181"/>
      <c r="P43" s="259"/>
    </row>
    <row r="44" spans="2:16" ht="30" customHeight="1">
      <c r="B44" s="16" t="s">
        <v>352</v>
      </c>
      <c r="C44" s="3" t="s">
        <v>584</v>
      </c>
      <c r="D44" s="8" t="s">
        <v>239</v>
      </c>
      <c r="E44" s="315">
        <f>12210/2</f>
        <v>6105</v>
      </c>
      <c r="F44" s="9">
        <v>6349</v>
      </c>
      <c r="G44" s="9">
        <v>0</v>
      </c>
      <c r="H44" s="9">
        <f>F44</f>
        <v>6349</v>
      </c>
      <c r="I44" s="9"/>
      <c r="J44" s="9"/>
      <c r="K44" s="9">
        <v>647</v>
      </c>
      <c r="L44" s="9">
        <f>K44</f>
        <v>647</v>
      </c>
      <c r="M44" s="9">
        <f>H44+I44-L44-J44</f>
        <v>5702</v>
      </c>
      <c r="N44" s="26"/>
      <c r="O44" s="181"/>
      <c r="P44" s="259"/>
    </row>
    <row r="45" spans="2:16" ht="30" customHeight="1">
      <c r="B45" s="16" t="s">
        <v>353</v>
      </c>
      <c r="C45" s="218" t="s">
        <v>570</v>
      </c>
      <c r="D45" s="8" t="s">
        <v>222</v>
      </c>
      <c r="E45" s="315">
        <f>7414/2</f>
        <v>3707</v>
      </c>
      <c r="F45" s="9">
        <v>3855</v>
      </c>
      <c r="G45" s="9">
        <v>0</v>
      </c>
      <c r="H45" s="9">
        <f>F45</f>
        <v>3855</v>
      </c>
      <c r="I45" s="9"/>
      <c r="J45" s="9"/>
      <c r="K45" s="9">
        <v>282</v>
      </c>
      <c r="L45" s="9">
        <f t="shared" ref="L45:L46" si="10">K45</f>
        <v>282</v>
      </c>
      <c r="M45" s="9">
        <f>H45-L45</f>
        <v>3573</v>
      </c>
      <c r="N45" s="32"/>
      <c r="O45" s="181"/>
      <c r="P45" s="259"/>
    </row>
    <row r="46" spans="2:16" ht="30" customHeight="1">
      <c r="B46" s="16" t="s">
        <v>354</v>
      </c>
      <c r="C46" s="3" t="s">
        <v>585</v>
      </c>
      <c r="D46" s="8" t="s">
        <v>222</v>
      </c>
      <c r="E46" s="315">
        <f>7414/2</f>
        <v>3707</v>
      </c>
      <c r="F46" s="9">
        <v>3855</v>
      </c>
      <c r="G46" s="9">
        <v>0</v>
      </c>
      <c r="H46" s="9">
        <f>F46</f>
        <v>3855</v>
      </c>
      <c r="I46" s="11"/>
      <c r="J46" s="11"/>
      <c r="K46" s="9">
        <v>282</v>
      </c>
      <c r="L46" s="9">
        <f t="shared" si="10"/>
        <v>282</v>
      </c>
      <c r="M46" s="9">
        <f>H46+I46-L46-J46</f>
        <v>3573</v>
      </c>
      <c r="N46" s="26"/>
      <c r="O46" s="181"/>
      <c r="P46" s="259"/>
    </row>
    <row r="47" spans="2:16" s="21" customFormat="1" ht="18" customHeight="1" thickBot="1">
      <c r="B47" s="28" t="s">
        <v>9</v>
      </c>
      <c r="C47" s="29"/>
      <c r="D47" s="29"/>
      <c r="E47" s="317"/>
      <c r="F47" s="512">
        <f>SUM(F43:F46)</f>
        <v>23122</v>
      </c>
      <c r="G47" s="512">
        <f t="shared" ref="G47:I47" si="11">SUM(G43:G46)</f>
        <v>0</v>
      </c>
      <c r="H47" s="512">
        <f>SUM(H43:H46)</f>
        <v>23122</v>
      </c>
      <c r="I47" s="512">
        <f t="shared" si="11"/>
        <v>0</v>
      </c>
      <c r="J47" s="512">
        <f>SUM(J43:J46)</f>
        <v>1000</v>
      </c>
      <c r="K47" s="512">
        <f>SUM(K43:K46)</f>
        <v>2426</v>
      </c>
      <c r="L47" s="512">
        <f>SUM(L43:L46)</f>
        <v>3426</v>
      </c>
      <c r="M47" s="211">
        <f>SUM(M43:M46)</f>
        <v>19696</v>
      </c>
      <c r="N47" s="555"/>
      <c r="O47" s="257">
        <f>H47+I47-L47-J47</f>
        <v>18696</v>
      </c>
      <c r="P47" s="259">
        <f t="shared" si="0"/>
        <v>1000</v>
      </c>
    </row>
    <row r="48" spans="2:16" ht="18" customHeight="1" thickTop="1">
      <c r="B48" s="24"/>
      <c r="E48" s="318"/>
      <c r="F48" s="12"/>
      <c r="G48" s="12"/>
      <c r="H48" s="12"/>
      <c r="I48" s="13"/>
      <c r="J48" s="13"/>
      <c r="K48" s="12"/>
      <c r="L48" s="12"/>
      <c r="M48" s="14" t="s">
        <v>46</v>
      </c>
      <c r="N48" s="26"/>
      <c r="P48" s="259"/>
    </row>
    <row r="49" spans="2:16" ht="18" customHeight="1">
      <c r="B49" s="24"/>
      <c r="E49" s="318"/>
      <c r="N49" s="26"/>
      <c r="P49" s="259"/>
    </row>
    <row r="50" spans="2:16" ht="18" customHeight="1">
      <c r="B50" s="30" t="s">
        <v>16</v>
      </c>
      <c r="E50" s="318"/>
      <c r="N50" s="26"/>
      <c r="P50" s="259"/>
    </row>
    <row r="51" spans="2:16" ht="30" customHeight="1">
      <c r="B51" s="16" t="s">
        <v>355</v>
      </c>
      <c r="C51" s="3" t="s">
        <v>35</v>
      </c>
      <c r="D51" s="8" t="s">
        <v>232</v>
      </c>
      <c r="E51" s="315">
        <f>8374/2</f>
        <v>4187</v>
      </c>
      <c r="F51" s="9">
        <v>4354</v>
      </c>
      <c r="G51" s="9">
        <v>0</v>
      </c>
      <c r="H51" s="9">
        <f>F51</f>
        <v>4354</v>
      </c>
      <c r="I51" s="9"/>
      <c r="J51" s="9"/>
      <c r="K51" s="9">
        <v>337</v>
      </c>
      <c r="L51" s="9">
        <f>K51</f>
        <v>337</v>
      </c>
      <c r="M51" s="9">
        <f>H51+I51-L51-J51</f>
        <v>4017</v>
      </c>
      <c r="N51" s="33"/>
      <c r="P51" s="259"/>
    </row>
    <row r="52" spans="2:16" ht="30" customHeight="1">
      <c r="B52" s="16" t="s">
        <v>356</v>
      </c>
      <c r="C52" s="3" t="s">
        <v>602</v>
      </c>
      <c r="D52" s="8" t="s">
        <v>698</v>
      </c>
      <c r="E52" s="315">
        <f>10384/2</f>
        <v>5192</v>
      </c>
      <c r="F52" s="9">
        <v>5900</v>
      </c>
      <c r="G52" s="9">
        <v>0</v>
      </c>
      <c r="H52" s="9">
        <f>F52</f>
        <v>5900</v>
      </c>
      <c r="I52" s="9"/>
      <c r="J52" s="9"/>
      <c r="K52" s="9">
        <v>567</v>
      </c>
      <c r="L52" s="9">
        <f>J52+K52</f>
        <v>567</v>
      </c>
      <c r="M52" s="9">
        <f>H52-L52</f>
        <v>5333</v>
      </c>
      <c r="N52" s="34"/>
      <c r="P52" s="259"/>
    </row>
    <row r="53" spans="2:16" s="21" customFormat="1" ht="18" customHeight="1" thickBot="1">
      <c r="B53" s="28" t="s">
        <v>9</v>
      </c>
      <c r="C53" s="29"/>
      <c r="D53" s="29"/>
      <c r="E53" s="317"/>
      <c r="F53" s="512">
        <f>SUM(F51:F52)</f>
        <v>10254</v>
      </c>
      <c r="G53" s="512">
        <f t="shared" ref="G53:L53" si="12">SUM(G51:G52)</f>
        <v>0</v>
      </c>
      <c r="H53" s="512">
        <f>SUM(H51:H52)</f>
        <v>10254</v>
      </c>
      <c r="I53" s="512">
        <f t="shared" si="12"/>
        <v>0</v>
      </c>
      <c r="J53" s="512">
        <f>SUM(J51:J52)</f>
        <v>0</v>
      </c>
      <c r="K53" s="512">
        <f>SUM(K51:K52)</f>
        <v>904</v>
      </c>
      <c r="L53" s="512">
        <f t="shared" si="12"/>
        <v>904</v>
      </c>
      <c r="M53" s="211">
        <f>SUM(M51:M52)</f>
        <v>9350</v>
      </c>
      <c r="N53" s="555"/>
      <c r="O53" s="256">
        <f>H53+I53-L53</f>
        <v>9350</v>
      </c>
      <c r="P53" s="259">
        <f t="shared" si="0"/>
        <v>0</v>
      </c>
    </row>
    <row r="54" spans="2:16" ht="18" customHeight="1" thickTop="1">
      <c r="E54" s="319"/>
      <c r="F54" s="12"/>
      <c r="G54" s="12"/>
      <c r="H54" s="12"/>
      <c r="I54" s="12"/>
      <c r="J54" s="12"/>
      <c r="K54" s="12"/>
      <c r="L54" s="12"/>
      <c r="M54" s="14" t="s">
        <v>46</v>
      </c>
      <c r="N54" s="26"/>
      <c r="P54" s="259"/>
    </row>
    <row r="55" spans="2:16" ht="18" customHeight="1">
      <c r="E55" s="319"/>
      <c r="F55" s="12"/>
      <c r="G55" s="12"/>
      <c r="H55" s="12"/>
      <c r="I55" s="12"/>
      <c r="J55" s="12"/>
      <c r="K55" s="12"/>
      <c r="L55" s="12"/>
      <c r="M55" s="14"/>
      <c r="N55" s="26"/>
      <c r="P55" s="259"/>
    </row>
    <row r="56" spans="2:16" ht="18" customHeight="1">
      <c r="B56" s="623" t="s">
        <v>206</v>
      </c>
      <c r="C56" s="624"/>
      <c r="D56" s="624"/>
      <c r="E56" s="624"/>
      <c r="F56" s="624"/>
      <c r="G56" s="624"/>
      <c r="H56" s="624"/>
      <c r="I56" s="624"/>
      <c r="J56" s="624"/>
      <c r="K56" s="624"/>
      <c r="L56" s="624"/>
      <c r="M56" s="624"/>
      <c r="N56" s="625"/>
      <c r="P56" s="259"/>
    </row>
    <row r="57" spans="2:16" ht="18" customHeight="1">
      <c r="B57" s="626" t="s">
        <v>779</v>
      </c>
      <c r="C57" s="627"/>
      <c r="D57" s="627"/>
      <c r="E57" s="627"/>
      <c r="F57" s="627"/>
      <c r="G57" s="627"/>
      <c r="H57" s="627"/>
      <c r="I57" s="627"/>
      <c r="J57" s="627"/>
      <c r="K57" s="627"/>
      <c r="L57" s="627"/>
      <c r="M57" s="627"/>
      <c r="N57" s="628"/>
      <c r="P57" s="259"/>
    </row>
    <row r="58" spans="2:16" ht="18" customHeight="1">
      <c r="B58" s="24"/>
      <c r="C58" s="25" t="s">
        <v>0</v>
      </c>
      <c r="D58" s="25"/>
      <c r="E58" s="316"/>
      <c r="N58" s="26"/>
      <c r="P58" s="259"/>
    </row>
    <row r="59" spans="2:16" ht="40.5" customHeight="1" thickBot="1">
      <c r="B59" s="514" t="s">
        <v>1</v>
      </c>
      <c r="C59" s="458" t="s">
        <v>2</v>
      </c>
      <c r="D59" s="458"/>
      <c r="E59" s="459"/>
      <c r="F59" s="458" t="s">
        <v>3</v>
      </c>
      <c r="G59" s="458" t="s">
        <v>4</v>
      </c>
      <c r="H59" s="458" t="s">
        <v>5</v>
      </c>
      <c r="I59" s="458" t="s">
        <v>44</v>
      </c>
      <c r="J59" s="458"/>
      <c r="K59" s="458" t="s">
        <v>43</v>
      </c>
      <c r="L59" s="458" t="s">
        <v>6</v>
      </c>
      <c r="M59" s="458" t="s">
        <v>7</v>
      </c>
      <c r="N59" s="460" t="s">
        <v>29</v>
      </c>
      <c r="P59" s="259"/>
    </row>
    <row r="60" spans="2:16" ht="18" customHeight="1" thickTop="1">
      <c r="B60" s="30" t="s">
        <v>17</v>
      </c>
      <c r="E60" s="318"/>
      <c r="N60" s="26"/>
      <c r="P60" s="259"/>
    </row>
    <row r="61" spans="2:16" ht="18" customHeight="1">
      <c r="B61" s="16" t="s">
        <v>357</v>
      </c>
      <c r="C61" s="3" t="s">
        <v>533</v>
      </c>
      <c r="D61" s="8" t="s">
        <v>534</v>
      </c>
      <c r="E61" s="315">
        <f>10384/2</f>
        <v>5192</v>
      </c>
      <c r="F61" s="388">
        <v>5400</v>
      </c>
      <c r="G61" s="22"/>
      <c r="H61" s="22">
        <f>F61</f>
        <v>5400</v>
      </c>
      <c r="I61" s="22"/>
      <c r="J61" s="388"/>
      <c r="K61" s="388">
        <v>481</v>
      </c>
      <c r="L61" s="22">
        <f>J61+K61</f>
        <v>481</v>
      </c>
      <c r="M61" s="22">
        <f>H61-L61</f>
        <v>4919</v>
      </c>
      <c r="N61" s="26"/>
      <c r="P61" s="259"/>
    </row>
    <row r="62" spans="2:16" ht="24.95" customHeight="1">
      <c r="B62" s="16" t="s">
        <v>358</v>
      </c>
      <c r="C62" s="3" t="s">
        <v>36</v>
      </c>
      <c r="D62" s="8" t="s">
        <v>239</v>
      </c>
      <c r="E62" s="315">
        <f>7942/2</f>
        <v>3971</v>
      </c>
      <c r="F62" s="9">
        <v>4130</v>
      </c>
      <c r="G62" s="9">
        <v>0</v>
      </c>
      <c r="H62" s="9">
        <f>F62</f>
        <v>4130</v>
      </c>
      <c r="I62" s="9"/>
      <c r="J62" s="9"/>
      <c r="K62" s="9">
        <v>312</v>
      </c>
      <c r="L62" s="9">
        <f>K62</f>
        <v>312</v>
      </c>
      <c r="M62" s="9">
        <f>H62+I62-L62-J62</f>
        <v>3818</v>
      </c>
      <c r="N62" s="3"/>
      <c r="O62" s="307"/>
      <c r="P62" s="259"/>
    </row>
    <row r="63" spans="2:16" s="21" customFormat="1" ht="24.95" customHeight="1" thickBot="1">
      <c r="B63" s="28" t="s">
        <v>9</v>
      </c>
      <c r="C63" s="29"/>
      <c r="D63" s="29"/>
      <c r="E63" s="317"/>
      <c r="F63" s="512">
        <f>SUM(F62+F61)</f>
        <v>9530</v>
      </c>
      <c r="G63" s="512">
        <f t="shared" ref="G63:I63" si="13">SUM(G62)</f>
        <v>0</v>
      </c>
      <c r="H63" s="512">
        <f>SUM(H61:H62)</f>
        <v>9530</v>
      </c>
      <c r="I63" s="512">
        <f t="shared" si="13"/>
        <v>0</v>
      </c>
      <c r="J63" s="512">
        <f>SUM(J61:J62)</f>
        <v>0</v>
      </c>
      <c r="K63" s="512">
        <f>SUM(K61:K62)</f>
        <v>793</v>
      </c>
      <c r="L63" s="512">
        <f>SUM(L61:L62)</f>
        <v>793</v>
      </c>
      <c r="M63" s="211">
        <f>SUM(M61:M62)</f>
        <v>8737</v>
      </c>
      <c r="N63" s="555"/>
      <c r="O63" s="256">
        <f>H63+I63-L63-J63</f>
        <v>8737</v>
      </c>
      <c r="P63" s="259">
        <f t="shared" si="0"/>
        <v>0</v>
      </c>
    </row>
    <row r="64" spans="2:16" ht="24.95" customHeight="1" thickTop="1">
      <c r="B64" s="24"/>
      <c r="E64" s="318"/>
      <c r="F64" s="12"/>
      <c r="G64" s="12"/>
      <c r="H64" s="12"/>
      <c r="I64" s="12"/>
      <c r="J64" s="12"/>
      <c r="K64" s="12"/>
      <c r="L64" s="12"/>
      <c r="M64" s="14" t="s">
        <v>46</v>
      </c>
      <c r="N64" s="26"/>
      <c r="P64" s="259"/>
    </row>
    <row r="65" spans="2:16" ht="24.95" customHeight="1">
      <c r="B65" s="24"/>
      <c r="E65" s="318"/>
      <c r="N65" s="26"/>
      <c r="P65" s="259"/>
    </row>
    <row r="66" spans="2:16" ht="24.95" customHeight="1">
      <c r="B66" s="30" t="s">
        <v>18</v>
      </c>
      <c r="E66" s="318"/>
      <c r="N66" s="26"/>
      <c r="P66" s="259"/>
    </row>
    <row r="67" spans="2:16" ht="24.95" customHeight="1">
      <c r="B67" s="16" t="s">
        <v>359</v>
      </c>
      <c r="C67" s="3" t="s">
        <v>39</v>
      </c>
      <c r="D67" s="8" t="s">
        <v>234</v>
      </c>
      <c r="E67" s="315">
        <f>7942/2</f>
        <v>3971</v>
      </c>
      <c r="F67" s="9">
        <v>4130</v>
      </c>
      <c r="G67" s="9">
        <v>0</v>
      </c>
      <c r="H67" s="9">
        <f>F67</f>
        <v>4130</v>
      </c>
      <c r="I67" s="9"/>
      <c r="J67" s="9"/>
      <c r="K67" s="9">
        <v>312</v>
      </c>
      <c r="L67" s="9">
        <f>K67</f>
        <v>312</v>
      </c>
      <c r="M67" s="9">
        <f>H67+I67-L67-J67:J69</f>
        <v>3818</v>
      </c>
      <c r="N67" s="27"/>
      <c r="P67" s="259"/>
    </row>
    <row r="68" spans="2:16" ht="24.95" customHeight="1">
      <c r="B68" s="16" t="s">
        <v>360</v>
      </c>
      <c r="C68" s="3" t="s">
        <v>37</v>
      </c>
      <c r="D68" s="8" t="s">
        <v>235</v>
      </c>
      <c r="E68" s="315">
        <f>10942/2</f>
        <v>5471</v>
      </c>
      <c r="F68" s="9">
        <v>5690</v>
      </c>
      <c r="G68" s="9">
        <v>0</v>
      </c>
      <c r="H68" s="9">
        <f>F68</f>
        <v>5690</v>
      </c>
      <c r="I68" s="9"/>
      <c r="J68" s="9"/>
      <c r="K68" s="9">
        <v>529</v>
      </c>
      <c r="L68" s="9">
        <f t="shared" ref="L68" si="14">K68</f>
        <v>529</v>
      </c>
      <c r="M68" s="9">
        <f t="shared" ref="M68" si="15">H68+I68-L68-J68:J70</f>
        <v>5161</v>
      </c>
      <c r="N68" s="26"/>
      <c r="P68" s="259"/>
    </row>
    <row r="69" spans="2:16" ht="24.95" customHeight="1">
      <c r="B69" s="16" t="s">
        <v>361</v>
      </c>
      <c r="C69" s="3" t="s">
        <v>38</v>
      </c>
      <c r="D69" s="8" t="s">
        <v>236</v>
      </c>
      <c r="E69" s="315">
        <f>7940/2</f>
        <v>3970</v>
      </c>
      <c r="F69" s="9">
        <v>4129</v>
      </c>
      <c r="G69" s="9">
        <v>0</v>
      </c>
      <c r="H69" s="9">
        <f>F69</f>
        <v>4129</v>
      </c>
      <c r="I69" s="9"/>
      <c r="J69" s="9"/>
      <c r="K69" s="9">
        <v>312</v>
      </c>
      <c r="L69" s="9">
        <f>K69</f>
        <v>312</v>
      </c>
      <c r="M69" s="9">
        <f>H69+I69-L69-J69</f>
        <v>3817</v>
      </c>
      <c r="N69" s="32"/>
      <c r="P69" s="259"/>
    </row>
    <row r="70" spans="2:16" s="21" customFormat="1" ht="24.95" customHeight="1" thickBot="1">
      <c r="B70" s="28" t="s">
        <v>9</v>
      </c>
      <c r="C70" s="29"/>
      <c r="D70" s="29"/>
      <c r="E70" s="317"/>
      <c r="F70" s="512">
        <f>SUM(F67:F69)</f>
        <v>13949</v>
      </c>
      <c r="G70" s="512">
        <f t="shared" ref="G70:I70" si="16">SUM(G67:G69)</f>
        <v>0</v>
      </c>
      <c r="H70" s="512">
        <f>SUM(H67:H69)</f>
        <v>13949</v>
      </c>
      <c r="I70" s="512">
        <f t="shared" si="16"/>
        <v>0</v>
      </c>
      <c r="J70" s="512">
        <f>SUM(J67:J69)</f>
        <v>0</v>
      </c>
      <c r="K70" s="512">
        <f>SUM(K67:K69)</f>
        <v>1153</v>
      </c>
      <c r="L70" s="512">
        <f>SUM(L67:L69)</f>
        <v>1153</v>
      </c>
      <c r="M70" s="211">
        <f>SUM(M67:M69)</f>
        <v>12796</v>
      </c>
      <c r="N70" s="555"/>
      <c r="O70" s="256">
        <f>H70+I70-L70</f>
        <v>12796</v>
      </c>
      <c r="P70" s="259">
        <f t="shared" ref="P70:P121" si="17">M70-O70</f>
        <v>0</v>
      </c>
    </row>
    <row r="71" spans="2:16" ht="24.95" customHeight="1" thickTop="1">
      <c r="B71" s="24"/>
      <c r="E71" s="318"/>
      <c r="F71" s="12"/>
      <c r="G71" s="12"/>
      <c r="H71" s="12"/>
      <c r="I71" s="12"/>
      <c r="J71" s="12"/>
      <c r="K71" s="12"/>
      <c r="L71" s="12"/>
      <c r="M71" s="14" t="s">
        <v>46</v>
      </c>
      <c r="N71" s="26"/>
      <c r="P71" s="259"/>
    </row>
    <row r="72" spans="2:16" ht="24.95" customHeight="1">
      <c r="B72" s="24"/>
      <c r="E72" s="318"/>
      <c r="N72" s="26"/>
      <c r="P72" s="259"/>
    </row>
    <row r="73" spans="2:16" ht="24.95" customHeight="1">
      <c r="B73" s="30" t="s">
        <v>19</v>
      </c>
      <c r="E73" s="318"/>
      <c r="N73" s="26"/>
      <c r="P73" s="259"/>
    </row>
    <row r="74" spans="2:16" ht="24.95" customHeight="1">
      <c r="B74" s="16" t="s">
        <v>362</v>
      </c>
      <c r="C74" s="3" t="s">
        <v>432</v>
      </c>
      <c r="D74" s="8" t="s">
        <v>237</v>
      </c>
      <c r="E74" s="315">
        <f>16078/2</f>
        <v>8039</v>
      </c>
      <c r="F74" s="9">
        <v>8360</v>
      </c>
      <c r="G74" s="9">
        <v>0</v>
      </c>
      <c r="H74" s="9">
        <f>F74</f>
        <v>8360</v>
      </c>
      <c r="I74" s="9"/>
      <c r="J74" s="9"/>
      <c r="K74" s="9">
        <v>1065</v>
      </c>
      <c r="L74" s="9">
        <f>K74</f>
        <v>1065</v>
      </c>
      <c r="M74" s="9">
        <f>H74+I74-L74-J74</f>
        <v>7295</v>
      </c>
      <c r="N74" s="27"/>
      <c r="P74" s="259"/>
    </row>
    <row r="75" spans="2:16" s="21" customFormat="1" ht="24.95" customHeight="1" thickBot="1">
      <c r="B75" s="28" t="s">
        <v>9</v>
      </c>
      <c r="C75" s="29"/>
      <c r="D75" s="29"/>
      <c r="E75" s="317"/>
      <c r="F75" s="512">
        <f>SUM(F74)</f>
        <v>8360</v>
      </c>
      <c r="G75" s="512">
        <f t="shared" ref="G75:I75" si="18">SUM(G74)</f>
        <v>0</v>
      </c>
      <c r="H75" s="512">
        <f>SUM(H74)</f>
        <v>8360</v>
      </c>
      <c r="I75" s="512">
        <f t="shared" si="18"/>
        <v>0</v>
      </c>
      <c r="J75" s="512">
        <f>SUM(J74)</f>
        <v>0</v>
      </c>
      <c r="K75" s="512">
        <f>SUM(K74)</f>
        <v>1065</v>
      </c>
      <c r="L75" s="512">
        <f>SUM(L74)</f>
        <v>1065</v>
      </c>
      <c r="M75" s="211">
        <f>SUM(M74)</f>
        <v>7295</v>
      </c>
      <c r="N75" s="560"/>
      <c r="O75" s="256">
        <f>H75+I75-L75</f>
        <v>7295</v>
      </c>
      <c r="P75" s="259">
        <f t="shared" si="17"/>
        <v>0</v>
      </c>
    </row>
    <row r="76" spans="2:16" ht="18" customHeight="1" thickTop="1">
      <c r="B76" s="37"/>
      <c r="C76" s="38"/>
      <c r="D76" s="38"/>
      <c r="E76" s="320"/>
      <c r="F76" s="39"/>
      <c r="G76" s="39"/>
      <c r="H76" s="39"/>
      <c r="I76" s="39"/>
      <c r="J76" s="39"/>
      <c r="K76" s="39"/>
      <c r="L76" s="39"/>
      <c r="M76" s="40" t="s">
        <v>46</v>
      </c>
      <c r="N76" s="27"/>
      <c r="P76" s="259"/>
    </row>
    <row r="77" spans="2:16" ht="18" customHeight="1">
      <c r="E77" s="319"/>
      <c r="P77" s="259"/>
    </row>
    <row r="78" spans="2:16" ht="18" customHeight="1">
      <c r="E78" s="319"/>
      <c r="P78" s="259"/>
    </row>
    <row r="79" spans="2:16" ht="18" customHeight="1">
      <c r="E79" s="319"/>
      <c r="P79" s="259"/>
    </row>
    <row r="80" spans="2:16" ht="18" customHeight="1">
      <c r="B80" s="623" t="s">
        <v>206</v>
      </c>
      <c r="C80" s="624"/>
      <c r="D80" s="624"/>
      <c r="E80" s="624"/>
      <c r="F80" s="624"/>
      <c r="G80" s="624"/>
      <c r="H80" s="624"/>
      <c r="I80" s="624"/>
      <c r="J80" s="624"/>
      <c r="K80" s="624"/>
      <c r="L80" s="624"/>
      <c r="M80" s="624"/>
      <c r="N80" s="625"/>
      <c r="P80" s="259"/>
    </row>
    <row r="81" spans="2:16" ht="18" customHeight="1">
      <c r="B81" s="626" t="s">
        <v>780</v>
      </c>
      <c r="C81" s="627"/>
      <c r="D81" s="627"/>
      <c r="E81" s="627"/>
      <c r="F81" s="627"/>
      <c r="G81" s="627"/>
      <c r="H81" s="627"/>
      <c r="I81" s="627"/>
      <c r="J81" s="627"/>
      <c r="K81" s="627"/>
      <c r="L81" s="627"/>
      <c r="M81" s="627"/>
      <c r="N81" s="628"/>
      <c r="P81" s="259"/>
    </row>
    <row r="82" spans="2:16" ht="18" customHeight="1">
      <c r="B82" s="24"/>
      <c r="C82" s="25" t="s">
        <v>0</v>
      </c>
      <c r="D82" s="25"/>
      <c r="E82" s="316"/>
      <c r="N82" s="26"/>
      <c r="P82" s="259"/>
    </row>
    <row r="83" spans="2:16" ht="39" customHeight="1" thickBot="1">
      <c r="B83" s="514" t="s">
        <v>1</v>
      </c>
      <c r="C83" s="458" t="s">
        <v>2</v>
      </c>
      <c r="D83" s="458"/>
      <c r="E83" s="459"/>
      <c r="F83" s="458" t="s">
        <v>3</v>
      </c>
      <c r="G83" s="458" t="s">
        <v>4</v>
      </c>
      <c r="H83" s="458" t="s">
        <v>5</v>
      </c>
      <c r="I83" s="458" t="s">
        <v>44</v>
      </c>
      <c r="J83" s="458"/>
      <c r="K83" s="458" t="s">
        <v>43</v>
      </c>
      <c r="L83" s="458" t="s">
        <v>6</v>
      </c>
      <c r="M83" s="458" t="s">
        <v>7</v>
      </c>
      <c r="N83" s="460" t="s">
        <v>29</v>
      </c>
      <c r="P83" s="259"/>
    </row>
    <row r="84" spans="2:16" ht="18" customHeight="1" thickTop="1">
      <c r="B84" s="30" t="s">
        <v>20</v>
      </c>
      <c r="E84" s="318"/>
      <c r="N84" s="26"/>
      <c r="P84" s="259"/>
    </row>
    <row r="85" spans="2:16" ht="30" customHeight="1">
      <c r="B85" s="16" t="s">
        <v>363</v>
      </c>
      <c r="C85" s="3" t="s">
        <v>405</v>
      </c>
      <c r="D85" s="8" t="s">
        <v>238</v>
      </c>
      <c r="E85" s="315">
        <f>14560/2</f>
        <v>7280</v>
      </c>
      <c r="F85" s="9">
        <v>7571</v>
      </c>
      <c r="G85" s="9">
        <v>0</v>
      </c>
      <c r="H85" s="9">
        <f t="shared" ref="H85:H91" si="19">F85</f>
        <v>7571</v>
      </c>
      <c r="I85" s="9"/>
      <c r="J85" s="9"/>
      <c r="K85" s="9">
        <v>897</v>
      </c>
      <c r="L85" s="9">
        <f>K85</f>
        <v>897</v>
      </c>
      <c r="M85" s="9">
        <f>H85+I85-L85-J85</f>
        <v>6674</v>
      </c>
      <c r="N85" s="27"/>
      <c r="P85" s="259"/>
    </row>
    <row r="86" spans="2:16" ht="30" customHeight="1">
      <c r="B86" s="16" t="s">
        <v>364</v>
      </c>
      <c r="C86" s="3" t="s">
        <v>406</v>
      </c>
      <c r="D86" s="8" t="s">
        <v>238</v>
      </c>
      <c r="E86" s="315">
        <f>14560/2</f>
        <v>7280</v>
      </c>
      <c r="F86" s="9">
        <v>7571</v>
      </c>
      <c r="G86" s="9">
        <v>0</v>
      </c>
      <c r="H86" s="9">
        <f t="shared" si="19"/>
        <v>7571</v>
      </c>
      <c r="I86" s="9"/>
      <c r="J86" s="9"/>
      <c r="K86" s="9">
        <v>897</v>
      </c>
      <c r="L86" s="9">
        <f t="shared" ref="L86:L91" si="20">K86</f>
        <v>897</v>
      </c>
      <c r="M86" s="9">
        <f t="shared" ref="M86:M91" si="21">H86+I86-L86-J86</f>
        <v>6674</v>
      </c>
      <c r="N86" s="26"/>
      <c r="P86" s="259"/>
    </row>
    <row r="87" spans="2:16" ht="30" customHeight="1">
      <c r="B87" s="16" t="s">
        <v>365</v>
      </c>
      <c r="C87" s="3" t="s">
        <v>407</v>
      </c>
      <c r="D87" s="8" t="s">
        <v>238</v>
      </c>
      <c r="E87" s="315">
        <f>14560/2</f>
        <v>7280</v>
      </c>
      <c r="F87" s="9">
        <v>7571</v>
      </c>
      <c r="G87" s="9">
        <v>0</v>
      </c>
      <c r="H87" s="9">
        <f t="shared" si="19"/>
        <v>7571</v>
      </c>
      <c r="I87" s="9"/>
      <c r="J87" s="9"/>
      <c r="K87" s="9">
        <v>897</v>
      </c>
      <c r="L87" s="9">
        <f t="shared" si="20"/>
        <v>897</v>
      </c>
      <c r="M87" s="9">
        <f t="shared" si="21"/>
        <v>6674</v>
      </c>
      <c r="N87" s="31"/>
      <c r="P87" s="259"/>
    </row>
    <row r="88" spans="2:16" ht="30" customHeight="1">
      <c r="B88" s="16" t="s">
        <v>366</v>
      </c>
      <c r="C88" s="3" t="s">
        <v>408</v>
      </c>
      <c r="D88" s="8" t="s">
        <v>231</v>
      </c>
      <c r="E88" s="315">
        <f>8506/2</f>
        <v>4253</v>
      </c>
      <c r="F88" s="9">
        <v>4423</v>
      </c>
      <c r="G88" s="9">
        <v>0</v>
      </c>
      <c r="H88" s="9">
        <f t="shared" si="19"/>
        <v>4423</v>
      </c>
      <c r="I88" s="9"/>
      <c r="J88" s="9"/>
      <c r="K88" s="9">
        <v>344</v>
      </c>
      <c r="L88" s="9">
        <f t="shared" si="20"/>
        <v>344</v>
      </c>
      <c r="M88" s="9">
        <f t="shared" si="21"/>
        <v>4079</v>
      </c>
      <c r="N88" s="31"/>
      <c r="P88" s="259"/>
    </row>
    <row r="89" spans="2:16" ht="30" customHeight="1">
      <c r="B89" s="16" t="s">
        <v>367</v>
      </c>
      <c r="C89" s="3" t="s">
        <v>409</v>
      </c>
      <c r="D89" s="8" t="s">
        <v>239</v>
      </c>
      <c r="E89" s="315">
        <f>7106/2</f>
        <v>3553</v>
      </c>
      <c r="F89" s="9">
        <v>3695</v>
      </c>
      <c r="G89" s="9">
        <v>0</v>
      </c>
      <c r="H89" s="9">
        <f t="shared" si="19"/>
        <v>3695</v>
      </c>
      <c r="I89" s="11"/>
      <c r="J89" s="11"/>
      <c r="K89" s="9">
        <v>265</v>
      </c>
      <c r="L89" s="9">
        <f t="shared" si="20"/>
        <v>265</v>
      </c>
      <c r="M89" s="9">
        <f t="shared" si="21"/>
        <v>3430</v>
      </c>
      <c r="N89" s="31"/>
      <c r="P89" s="259"/>
    </row>
    <row r="90" spans="2:16" ht="30" customHeight="1">
      <c r="B90" s="16" t="s">
        <v>368</v>
      </c>
      <c r="C90" s="3" t="s">
        <v>410</v>
      </c>
      <c r="D90" s="8" t="s">
        <v>239</v>
      </c>
      <c r="E90" s="315">
        <f>7398/2</f>
        <v>3699</v>
      </c>
      <c r="F90" s="9">
        <v>3847</v>
      </c>
      <c r="G90" s="9">
        <v>0</v>
      </c>
      <c r="H90" s="9">
        <f t="shared" si="19"/>
        <v>3847</v>
      </c>
      <c r="I90" s="11"/>
      <c r="J90" s="9"/>
      <c r="K90" s="9">
        <v>282</v>
      </c>
      <c r="L90" s="9">
        <f t="shared" si="20"/>
        <v>282</v>
      </c>
      <c r="M90" s="9">
        <f>H90+I90-L90-J90</f>
        <v>3565</v>
      </c>
      <c r="N90" s="32"/>
      <c r="P90" s="259"/>
    </row>
    <row r="91" spans="2:16" ht="30" customHeight="1">
      <c r="B91" s="16" t="s">
        <v>369</v>
      </c>
      <c r="C91" s="3" t="s">
        <v>573</v>
      </c>
      <c r="D91" s="8" t="s">
        <v>574</v>
      </c>
      <c r="E91" s="315">
        <f>8552/2</f>
        <v>4276</v>
      </c>
      <c r="F91" s="9">
        <v>5148</v>
      </c>
      <c r="G91" s="9">
        <v>0</v>
      </c>
      <c r="H91" s="9">
        <f t="shared" si="19"/>
        <v>5148</v>
      </c>
      <c r="I91" s="11"/>
      <c r="J91" s="11"/>
      <c r="K91" s="9">
        <v>441</v>
      </c>
      <c r="L91" s="9">
        <f t="shared" si="20"/>
        <v>441</v>
      </c>
      <c r="M91" s="9">
        <f t="shared" si="21"/>
        <v>4707</v>
      </c>
      <c r="N91" s="26"/>
      <c r="P91" s="259"/>
    </row>
    <row r="92" spans="2:16" s="21" customFormat="1" ht="18" customHeight="1" thickBot="1">
      <c r="B92" s="28" t="s">
        <v>9</v>
      </c>
      <c r="C92" s="29"/>
      <c r="D92" s="29"/>
      <c r="E92" s="317"/>
      <c r="F92" s="512">
        <f>SUM(F85:F91)</f>
        <v>39826</v>
      </c>
      <c r="G92" s="512">
        <f>SUM(G85:G91)</f>
        <v>0</v>
      </c>
      <c r="H92" s="512">
        <f>SUM(H85:H91)</f>
        <v>39826</v>
      </c>
      <c r="I92" s="512">
        <f>SUM(I85:I90)</f>
        <v>0</v>
      </c>
      <c r="J92" s="512">
        <f>SUM(J85:J90)</f>
        <v>0</v>
      </c>
      <c r="K92" s="512">
        <f>SUM(K85:K91)</f>
        <v>4023</v>
      </c>
      <c r="L92" s="512">
        <f>SUM(L85:L91)</f>
        <v>4023</v>
      </c>
      <c r="M92" s="211">
        <f>SUM(M85:M91)</f>
        <v>35803</v>
      </c>
      <c r="N92" s="558"/>
      <c r="O92" s="256">
        <f>H92+I92-L92</f>
        <v>35803</v>
      </c>
      <c r="P92" s="259">
        <f t="shared" si="17"/>
        <v>0</v>
      </c>
    </row>
    <row r="93" spans="2:16" ht="18" customHeight="1" thickTop="1">
      <c r="B93" s="24"/>
      <c r="E93" s="318"/>
      <c r="F93" s="12"/>
      <c r="G93" s="12"/>
      <c r="H93" s="12"/>
      <c r="I93" s="13"/>
      <c r="J93" s="13"/>
      <c r="K93" s="12"/>
      <c r="L93" s="12"/>
      <c r="M93" s="14" t="s">
        <v>46</v>
      </c>
      <c r="N93" s="26"/>
      <c r="P93" s="259"/>
    </row>
    <row r="94" spans="2:16" ht="18" customHeight="1">
      <c r="B94" s="24"/>
      <c r="E94" s="318"/>
      <c r="N94" s="26"/>
      <c r="P94" s="259"/>
    </row>
    <row r="95" spans="2:16" ht="18" customHeight="1">
      <c r="B95" s="30" t="s">
        <v>21</v>
      </c>
      <c r="E95" s="318"/>
      <c r="N95" s="26"/>
      <c r="P95" s="259"/>
    </row>
    <row r="96" spans="2:16" ht="30" customHeight="1">
      <c r="B96" s="16" t="s">
        <v>370</v>
      </c>
      <c r="C96" s="3" t="s">
        <v>411</v>
      </c>
      <c r="D96" s="8" t="s">
        <v>240</v>
      </c>
      <c r="E96" s="315">
        <f>7414/2</f>
        <v>3707</v>
      </c>
      <c r="F96" s="9">
        <v>3855</v>
      </c>
      <c r="G96" s="9">
        <v>0</v>
      </c>
      <c r="H96" s="9">
        <f>F96</f>
        <v>3855</v>
      </c>
      <c r="I96" s="9"/>
      <c r="J96" s="9"/>
      <c r="K96" s="9">
        <v>282</v>
      </c>
      <c r="L96" s="9">
        <f>K96</f>
        <v>282</v>
      </c>
      <c r="M96" s="9">
        <f>H96+I96-L96-J96</f>
        <v>3573</v>
      </c>
      <c r="N96" s="27"/>
      <c r="P96" s="259"/>
    </row>
    <row r="97" spans="2:17" s="21" customFormat="1" ht="18" customHeight="1" thickBot="1">
      <c r="B97" s="28" t="s">
        <v>9</v>
      </c>
      <c r="C97" s="29"/>
      <c r="D97" s="29"/>
      <c r="E97" s="317"/>
      <c r="F97" s="512">
        <f t="shared" ref="F97:I97" si="22">SUM(F96:F96)</f>
        <v>3855</v>
      </c>
      <c r="G97" s="512">
        <f t="shared" si="22"/>
        <v>0</v>
      </c>
      <c r="H97" s="512">
        <f>SUM(H96:H96)</f>
        <v>3855</v>
      </c>
      <c r="I97" s="512">
        <f t="shared" si="22"/>
        <v>0</v>
      </c>
      <c r="J97" s="512">
        <f>SUM(J96)</f>
        <v>0</v>
      </c>
      <c r="K97" s="512">
        <f>SUM(K96:K96)</f>
        <v>282</v>
      </c>
      <c r="L97" s="512">
        <f>SUM(L96:L96)</f>
        <v>282</v>
      </c>
      <c r="M97" s="211">
        <f>SUM(M96:M96)</f>
        <v>3573</v>
      </c>
      <c r="N97" s="560"/>
      <c r="O97" s="256">
        <f>H97+I97-L97</f>
        <v>3573</v>
      </c>
      <c r="P97" s="259">
        <f t="shared" si="17"/>
        <v>0</v>
      </c>
    </row>
    <row r="98" spans="2:17" ht="18" customHeight="1" thickTop="1">
      <c r="B98" s="24"/>
      <c r="E98" s="318"/>
      <c r="F98" s="12"/>
      <c r="G98" s="12"/>
      <c r="H98" s="12"/>
      <c r="I98" s="13"/>
      <c r="J98" s="13"/>
      <c r="K98" s="12"/>
      <c r="L98" s="12"/>
      <c r="M98" s="14" t="s">
        <v>46</v>
      </c>
      <c r="N98" s="26"/>
      <c r="P98" s="259"/>
    </row>
    <row r="99" spans="2:17" ht="18" customHeight="1">
      <c r="B99" s="24"/>
      <c r="E99" s="318"/>
      <c r="N99" s="26"/>
      <c r="P99" s="259"/>
    </row>
    <row r="100" spans="2:17" ht="18" customHeight="1">
      <c r="B100" s="30" t="s">
        <v>22</v>
      </c>
      <c r="E100" s="318"/>
      <c r="N100" s="26"/>
      <c r="P100" s="259"/>
    </row>
    <row r="101" spans="2:17" ht="30" customHeight="1">
      <c r="B101" s="16" t="s">
        <v>371</v>
      </c>
      <c r="C101" s="3" t="s">
        <v>40</v>
      </c>
      <c r="D101" s="8" t="s">
        <v>242</v>
      </c>
      <c r="E101" s="315">
        <f>10384/2</f>
        <v>5192</v>
      </c>
      <c r="F101" s="9">
        <v>5400</v>
      </c>
      <c r="G101" s="9">
        <v>0</v>
      </c>
      <c r="H101" s="9">
        <f>F101</f>
        <v>5400</v>
      </c>
      <c r="I101" s="11"/>
      <c r="J101" s="11"/>
      <c r="K101" s="9">
        <v>481</v>
      </c>
      <c r="L101" s="9">
        <f>K101</f>
        <v>481</v>
      </c>
      <c r="M101" s="9">
        <f>H101+I101-L101-J101</f>
        <v>4919</v>
      </c>
      <c r="N101" s="26"/>
      <c r="P101" s="259"/>
    </row>
    <row r="102" spans="2:17" s="21" customFormat="1" ht="18" customHeight="1" thickBot="1">
      <c r="B102" s="28" t="s">
        <v>9</v>
      </c>
      <c r="C102" s="29"/>
      <c r="D102" s="29"/>
      <c r="E102" s="317"/>
      <c r="F102" s="512">
        <f t="shared" ref="F102:M102" si="23">SUM(F101:F101)</f>
        <v>5400</v>
      </c>
      <c r="G102" s="512">
        <f t="shared" si="23"/>
        <v>0</v>
      </c>
      <c r="H102" s="512">
        <f t="shared" si="23"/>
        <v>5400</v>
      </c>
      <c r="I102" s="512">
        <f t="shared" si="23"/>
        <v>0</v>
      </c>
      <c r="J102" s="512">
        <f t="shared" si="23"/>
        <v>0</v>
      </c>
      <c r="K102" s="512">
        <f t="shared" si="23"/>
        <v>481</v>
      </c>
      <c r="L102" s="512">
        <f t="shared" si="23"/>
        <v>481</v>
      </c>
      <c r="M102" s="211">
        <f t="shared" si="23"/>
        <v>4919</v>
      </c>
      <c r="N102" s="558"/>
      <c r="O102" s="256">
        <f>H102+I102-L102</f>
        <v>4919</v>
      </c>
      <c r="P102" s="259">
        <f t="shared" si="17"/>
        <v>0</v>
      </c>
    </row>
    <row r="103" spans="2:17" ht="18" customHeight="1" thickTop="1">
      <c r="B103" s="37"/>
      <c r="C103" s="38"/>
      <c r="D103" s="38"/>
      <c r="E103" s="320"/>
      <c r="F103" s="39"/>
      <c r="G103" s="39"/>
      <c r="H103" s="39"/>
      <c r="I103" s="41"/>
      <c r="J103" s="41"/>
      <c r="K103" s="39"/>
      <c r="L103" s="39"/>
      <c r="M103" s="40" t="s">
        <v>46</v>
      </c>
      <c r="N103" s="27"/>
      <c r="P103" s="259"/>
    </row>
    <row r="104" spans="2:17" ht="18" customHeight="1">
      <c r="E104" s="319"/>
      <c r="F104" s="12"/>
      <c r="G104" s="12"/>
      <c r="H104" s="12"/>
      <c r="I104" s="13"/>
      <c r="J104" s="13"/>
      <c r="K104" s="12"/>
      <c r="L104" s="12"/>
      <c r="M104" s="14"/>
      <c r="P104" s="259"/>
    </row>
    <row r="105" spans="2:17" ht="18" customHeight="1">
      <c r="B105" s="623" t="s">
        <v>206</v>
      </c>
      <c r="C105" s="624"/>
      <c r="D105" s="624"/>
      <c r="E105" s="624"/>
      <c r="F105" s="624"/>
      <c r="G105" s="624"/>
      <c r="H105" s="624"/>
      <c r="I105" s="624"/>
      <c r="J105" s="624"/>
      <c r="K105" s="624"/>
      <c r="L105" s="624"/>
      <c r="M105" s="624"/>
      <c r="N105" s="625"/>
      <c r="P105" s="259"/>
    </row>
    <row r="106" spans="2:17" ht="18" customHeight="1">
      <c r="B106" s="626" t="s">
        <v>781</v>
      </c>
      <c r="C106" s="627"/>
      <c r="D106" s="627"/>
      <c r="E106" s="627"/>
      <c r="F106" s="627"/>
      <c r="G106" s="627"/>
      <c r="H106" s="627"/>
      <c r="I106" s="627"/>
      <c r="J106" s="627"/>
      <c r="K106" s="627"/>
      <c r="L106" s="627"/>
      <c r="M106" s="627"/>
      <c r="N106" s="628"/>
      <c r="P106" s="259"/>
    </row>
    <row r="107" spans="2:17" ht="18" customHeight="1">
      <c r="B107" s="24"/>
      <c r="C107" s="25" t="s">
        <v>0</v>
      </c>
      <c r="D107" s="25"/>
      <c r="E107" s="316"/>
      <c r="N107" s="26"/>
      <c r="P107" s="259"/>
    </row>
    <row r="108" spans="2:17" ht="32.25" customHeight="1" thickBot="1">
      <c r="B108" s="514" t="s">
        <v>1</v>
      </c>
      <c r="C108" s="458" t="s">
        <v>2</v>
      </c>
      <c r="D108" s="458"/>
      <c r="E108" s="459"/>
      <c r="F108" s="458" t="s">
        <v>3</v>
      </c>
      <c r="G108" s="458" t="s">
        <v>4</v>
      </c>
      <c r="H108" s="458" t="s">
        <v>5</v>
      </c>
      <c r="I108" s="458" t="s">
        <v>44</v>
      </c>
      <c r="J108" s="458" t="s">
        <v>561</v>
      </c>
      <c r="K108" s="458" t="s">
        <v>43</v>
      </c>
      <c r="L108" s="458" t="s">
        <v>6</v>
      </c>
      <c r="M108" s="458" t="s">
        <v>7</v>
      </c>
      <c r="N108" s="460" t="s">
        <v>29</v>
      </c>
      <c r="P108" s="259"/>
    </row>
    <row r="109" spans="2:17" ht="18" customHeight="1" thickTop="1">
      <c r="B109" s="30" t="s">
        <v>23</v>
      </c>
      <c r="E109" s="318"/>
      <c r="N109" s="26"/>
      <c r="P109" s="259"/>
    </row>
    <row r="110" spans="2:17" ht="30" customHeight="1">
      <c r="B110" s="16" t="s">
        <v>372</v>
      </c>
      <c r="C110" s="3" t="s">
        <v>413</v>
      </c>
      <c r="D110" s="8" t="s">
        <v>243</v>
      </c>
      <c r="E110" s="315">
        <f>6324/2</f>
        <v>3162</v>
      </c>
      <c r="F110" s="9">
        <v>3288</v>
      </c>
      <c r="G110" s="9">
        <v>0</v>
      </c>
      <c r="H110" s="9">
        <f>F110</f>
        <v>3288</v>
      </c>
      <c r="I110" s="11"/>
      <c r="J110" s="11"/>
      <c r="K110" s="9">
        <v>94</v>
      </c>
      <c r="L110" s="9">
        <f>K110</f>
        <v>94</v>
      </c>
      <c r="M110" s="9">
        <f>H110+I110-L110-J110</f>
        <v>3194</v>
      </c>
      <c r="N110" s="26"/>
      <c r="O110" s="181"/>
      <c r="P110" s="259"/>
    </row>
    <row r="111" spans="2:17" ht="30" customHeight="1">
      <c r="B111" s="16" t="s">
        <v>373</v>
      </c>
      <c r="C111" s="3" t="s">
        <v>414</v>
      </c>
      <c r="D111" s="8" t="s">
        <v>243</v>
      </c>
      <c r="E111" s="315">
        <f>7940/2</f>
        <v>3970</v>
      </c>
      <c r="F111" s="9">
        <v>4129</v>
      </c>
      <c r="G111" s="9">
        <v>0</v>
      </c>
      <c r="H111" s="9">
        <f>F111</f>
        <v>4129</v>
      </c>
      <c r="I111" s="11"/>
      <c r="J111" s="11"/>
      <c r="K111" s="9">
        <v>312</v>
      </c>
      <c r="L111" s="9">
        <f t="shared" ref="L111:L114" si="24">K111</f>
        <v>312</v>
      </c>
      <c r="M111" s="9">
        <f t="shared" ref="M111:M114" si="25">H111+I111-L111-J111</f>
        <v>3817</v>
      </c>
      <c r="N111" s="32"/>
      <c r="O111" s="279"/>
      <c r="P111" s="279">
        <v>3524.16</v>
      </c>
      <c r="Q111" s="279"/>
    </row>
    <row r="112" spans="2:17" ht="30" customHeight="1">
      <c r="B112" s="16" t="s">
        <v>374</v>
      </c>
      <c r="C112" s="3" t="s">
        <v>415</v>
      </c>
      <c r="D112" s="8" t="s">
        <v>243</v>
      </c>
      <c r="E112" s="315">
        <f>7940/2</f>
        <v>3970</v>
      </c>
      <c r="F112" s="9">
        <v>4129</v>
      </c>
      <c r="G112" s="9">
        <v>0</v>
      </c>
      <c r="H112" s="9">
        <f>F112</f>
        <v>4129</v>
      </c>
      <c r="I112" s="11"/>
      <c r="J112" s="11"/>
      <c r="K112" s="9">
        <v>312</v>
      </c>
      <c r="L112" s="9">
        <f t="shared" si="24"/>
        <v>312</v>
      </c>
      <c r="M112" s="9">
        <f t="shared" si="25"/>
        <v>3817</v>
      </c>
      <c r="N112" s="26"/>
      <c r="O112" s="279"/>
      <c r="P112" s="279">
        <v>3524.16</v>
      </c>
    </row>
    <row r="113" spans="2:16" ht="30" customHeight="1">
      <c r="B113" s="16" t="s">
        <v>375</v>
      </c>
      <c r="C113" s="3" t="s">
        <v>580</v>
      </c>
      <c r="D113" s="8" t="s">
        <v>243</v>
      </c>
      <c r="E113" s="315">
        <f>7404/2</f>
        <v>3702</v>
      </c>
      <c r="F113" s="9">
        <v>4389</v>
      </c>
      <c r="G113" s="9">
        <v>0</v>
      </c>
      <c r="H113" s="9">
        <f>F113</f>
        <v>4389</v>
      </c>
      <c r="I113" s="11"/>
      <c r="J113" s="11"/>
      <c r="K113" s="9">
        <v>341</v>
      </c>
      <c r="L113" s="9">
        <f t="shared" si="24"/>
        <v>341</v>
      </c>
      <c r="M113" s="9">
        <f t="shared" si="25"/>
        <v>4048</v>
      </c>
      <c r="N113" s="409"/>
      <c r="O113" s="181"/>
      <c r="P113" s="259"/>
    </row>
    <row r="114" spans="2:16" ht="30" customHeight="1">
      <c r="B114" s="16" t="s">
        <v>376</v>
      </c>
      <c r="C114" s="3" t="s">
        <v>416</v>
      </c>
      <c r="D114" s="8" t="s">
        <v>243</v>
      </c>
      <c r="E114" s="315">
        <f>8172/2</f>
        <v>4086</v>
      </c>
      <c r="F114" s="9">
        <v>4249</v>
      </c>
      <c r="G114" s="9">
        <v>0</v>
      </c>
      <c r="H114" s="9">
        <f>F114</f>
        <v>4249</v>
      </c>
      <c r="I114" s="9"/>
      <c r="J114" s="9"/>
      <c r="K114" s="9">
        <v>325</v>
      </c>
      <c r="L114" s="9">
        <f t="shared" si="24"/>
        <v>325</v>
      </c>
      <c r="M114" s="9">
        <f t="shared" si="25"/>
        <v>3924</v>
      </c>
      <c r="N114" s="32"/>
      <c r="O114" s="181"/>
      <c r="P114" s="259"/>
    </row>
    <row r="115" spans="2:16" s="21" customFormat="1" ht="18" customHeight="1" thickBot="1">
      <c r="B115" s="28" t="s">
        <v>9</v>
      </c>
      <c r="C115" s="29"/>
      <c r="D115" s="29"/>
      <c r="E115" s="317"/>
      <c r="F115" s="512">
        <f>SUM(F110:F114)</f>
        <v>20184</v>
      </c>
      <c r="G115" s="512">
        <f t="shared" ref="G115:M115" si="26">SUM(G110:G114)</f>
        <v>0</v>
      </c>
      <c r="H115" s="512">
        <f t="shared" si="26"/>
        <v>20184</v>
      </c>
      <c r="I115" s="512">
        <f t="shared" si="26"/>
        <v>0</v>
      </c>
      <c r="J115" s="512">
        <f>SUM(J110:J114)</f>
        <v>0</v>
      </c>
      <c r="K115" s="512">
        <f t="shared" si="26"/>
        <v>1384</v>
      </c>
      <c r="L115" s="512">
        <f>SUM(L110:L114)</f>
        <v>1384</v>
      </c>
      <c r="M115" s="211">
        <f t="shared" si="26"/>
        <v>18800</v>
      </c>
      <c r="N115" s="560"/>
      <c r="O115" s="257">
        <f>H115+I115-L115</f>
        <v>18800</v>
      </c>
      <c r="P115" s="259">
        <f t="shared" si="17"/>
        <v>0</v>
      </c>
    </row>
    <row r="116" spans="2:16" ht="18" customHeight="1" thickTop="1">
      <c r="B116" s="24"/>
      <c r="E116" s="318"/>
      <c r="F116" s="12"/>
      <c r="G116" s="12"/>
      <c r="H116" s="12"/>
      <c r="I116" s="13"/>
      <c r="J116" s="13"/>
      <c r="K116" s="12"/>
      <c r="L116" s="12"/>
      <c r="M116" s="14" t="s">
        <v>46</v>
      </c>
      <c r="N116" s="26"/>
      <c r="P116" s="259"/>
    </row>
    <row r="117" spans="2:16" ht="18" customHeight="1">
      <c r="B117" s="24"/>
      <c r="E117" s="318"/>
      <c r="N117" s="26"/>
      <c r="P117" s="259"/>
    </row>
    <row r="118" spans="2:16" ht="18" customHeight="1">
      <c r="B118" s="30" t="s">
        <v>24</v>
      </c>
      <c r="E118" s="318"/>
      <c r="N118" s="26"/>
      <c r="P118" s="259"/>
    </row>
    <row r="119" spans="2:16" ht="18" customHeight="1">
      <c r="B119" s="16" t="s">
        <v>377</v>
      </c>
      <c r="C119" s="3" t="s">
        <v>590</v>
      </c>
      <c r="D119" s="8" t="s">
        <v>591</v>
      </c>
      <c r="E119" s="315">
        <f>12210/2</f>
        <v>6105</v>
      </c>
      <c r="F119" s="388">
        <v>6349</v>
      </c>
      <c r="G119" s="3"/>
      <c r="H119" s="272">
        <f>F119</f>
        <v>6349</v>
      </c>
      <c r="I119" s="3"/>
      <c r="J119" s="388"/>
      <c r="K119" s="3">
        <v>647</v>
      </c>
      <c r="L119" s="3">
        <f>K119</f>
        <v>647</v>
      </c>
      <c r="M119" s="272">
        <f>H119-L119-J119</f>
        <v>5702</v>
      </c>
      <c r="N119" s="26"/>
      <c r="P119" s="259"/>
    </row>
    <row r="120" spans="2:16" ht="30" customHeight="1">
      <c r="B120" s="16" t="s">
        <v>378</v>
      </c>
      <c r="C120" s="3" t="s">
        <v>418</v>
      </c>
      <c r="D120" s="8" t="s">
        <v>239</v>
      </c>
      <c r="E120" s="315">
        <f>7088/2</f>
        <v>3544</v>
      </c>
      <c r="F120" s="9">
        <v>4224</v>
      </c>
      <c r="G120" s="9">
        <v>0</v>
      </c>
      <c r="H120" s="9">
        <f>F120</f>
        <v>4224</v>
      </c>
      <c r="I120" s="11"/>
      <c r="J120" s="11"/>
      <c r="K120" s="9">
        <v>323</v>
      </c>
      <c r="L120" s="22">
        <f>K120</f>
        <v>323</v>
      </c>
      <c r="M120" s="9">
        <f>H120+I120-L120-J120</f>
        <v>3901</v>
      </c>
      <c r="N120" s="32"/>
      <c r="P120" s="259"/>
    </row>
    <row r="121" spans="2:16" s="21" customFormat="1" ht="18" customHeight="1" thickBot="1">
      <c r="B121" s="28" t="s">
        <v>9</v>
      </c>
      <c r="C121" s="29"/>
      <c r="D121" s="29"/>
      <c r="E121" s="317"/>
      <c r="F121" s="512">
        <f>SUM(F119:F120)</f>
        <v>10573</v>
      </c>
      <c r="G121" s="512">
        <f t="shared" ref="G121:I121" si="27">SUM(G120:G120)</f>
        <v>0</v>
      </c>
      <c r="H121" s="512">
        <f>SUM(H119:H120)</f>
        <v>10573</v>
      </c>
      <c r="I121" s="512">
        <f t="shared" si="27"/>
        <v>0</v>
      </c>
      <c r="J121" s="512">
        <f>J119</f>
        <v>0</v>
      </c>
      <c r="K121" s="512">
        <f>SUM(K119:K120)</f>
        <v>970</v>
      </c>
      <c r="L121" s="512">
        <f>SUM(L119:L120)</f>
        <v>970</v>
      </c>
      <c r="M121" s="211">
        <f>SUM(M119:M120)</f>
        <v>9603</v>
      </c>
      <c r="N121" s="560"/>
      <c r="O121" s="256">
        <f>H121+I121-L121</f>
        <v>9603</v>
      </c>
      <c r="P121" s="259">
        <f t="shared" si="17"/>
        <v>0</v>
      </c>
    </row>
    <row r="122" spans="2:16" ht="18" customHeight="1" thickTop="1">
      <c r="B122" s="37"/>
      <c r="C122" s="38"/>
      <c r="D122" s="38"/>
      <c r="E122" s="320"/>
      <c r="F122" s="39"/>
      <c r="G122" s="39"/>
      <c r="H122" s="39"/>
      <c r="I122" s="41"/>
      <c r="J122" s="41"/>
      <c r="K122" s="39"/>
      <c r="L122" s="39"/>
      <c r="M122" s="40" t="s">
        <v>46</v>
      </c>
      <c r="N122" s="27"/>
      <c r="P122" s="259"/>
    </row>
    <row r="123" spans="2:16" ht="18" customHeight="1">
      <c r="E123" s="319"/>
      <c r="P123" s="259"/>
    </row>
    <row r="124" spans="2:16" ht="18" customHeight="1">
      <c r="E124" s="319"/>
      <c r="P124" s="259"/>
    </row>
    <row r="125" spans="2:16" ht="18" customHeight="1">
      <c r="E125" s="319"/>
      <c r="P125" s="259"/>
    </row>
    <row r="126" spans="2:16" ht="18" customHeight="1">
      <c r="E126" s="319"/>
      <c r="P126" s="259"/>
    </row>
    <row r="127" spans="2:16" ht="18" customHeight="1">
      <c r="B127" s="623" t="s">
        <v>206</v>
      </c>
      <c r="C127" s="624"/>
      <c r="D127" s="624"/>
      <c r="E127" s="624"/>
      <c r="F127" s="624"/>
      <c r="G127" s="624"/>
      <c r="H127" s="624"/>
      <c r="I127" s="624"/>
      <c r="J127" s="624"/>
      <c r="K127" s="624"/>
      <c r="L127" s="624"/>
      <c r="M127" s="624"/>
      <c r="N127" s="625"/>
      <c r="P127" s="259"/>
    </row>
    <row r="128" spans="2:16" ht="18" customHeight="1">
      <c r="B128" s="626" t="s">
        <v>782</v>
      </c>
      <c r="C128" s="627"/>
      <c r="D128" s="627"/>
      <c r="E128" s="627"/>
      <c r="F128" s="627"/>
      <c r="G128" s="627"/>
      <c r="H128" s="627"/>
      <c r="I128" s="627"/>
      <c r="J128" s="627"/>
      <c r="K128" s="627"/>
      <c r="L128" s="627"/>
      <c r="M128" s="627"/>
      <c r="N128" s="628"/>
      <c r="P128" s="259"/>
    </row>
    <row r="129" spans="1:16" ht="18" customHeight="1">
      <c r="B129" s="24"/>
      <c r="C129" s="25" t="s">
        <v>0</v>
      </c>
      <c r="D129" s="25"/>
      <c r="E129" s="316"/>
      <c r="N129" s="26"/>
      <c r="P129" s="259"/>
    </row>
    <row r="130" spans="1:16" ht="33.75" customHeight="1" thickBot="1">
      <c r="B130" s="514" t="s">
        <v>1</v>
      </c>
      <c r="C130" s="458" t="s">
        <v>2</v>
      </c>
      <c r="D130" s="458"/>
      <c r="E130" s="459"/>
      <c r="F130" s="458" t="s">
        <v>3</v>
      </c>
      <c r="G130" s="458" t="s">
        <v>4</v>
      </c>
      <c r="H130" s="458" t="s">
        <v>5</v>
      </c>
      <c r="I130" s="458" t="s">
        <v>44</v>
      </c>
      <c r="J130" s="458" t="s">
        <v>561</v>
      </c>
      <c r="K130" s="458" t="s">
        <v>43</v>
      </c>
      <c r="L130" s="458" t="s">
        <v>6</v>
      </c>
      <c r="M130" s="458" t="s">
        <v>7</v>
      </c>
      <c r="N130" s="460" t="s">
        <v>29</v>
      </c>
      <c r="P130" s="259"/>
    </row>
    <row r="131" spans="1:16" ht="18" customHeight="1" thickTop="1">
      <c r="B131" s="30" t="s">
        <v>25</v>
      </c>
      <c r="E131" s="318"/>
      <c r="N131" s="26"/>
      <c r="P131" s="259"/>
    </row>
    <row r="132" spans="1:16" s="581" customFormat="1" ht="35.1" customHeight="1">
      <c r="A132" s="15"/>
      <c r="B132" s="16" t="s">
        <v>379</v>
      </c>
      <c r="C132" s="249" t="s">
        <v>647</v>
      </c>
      <c r="D132" s="8" t="s">
        <v>244</v>
      </c>
      <c r="E132" s="315">
        <f>13768/2</f>
        <v>6884</v>
      </c>
      <c r="F132" s="9">
        <v>7659</v>
      </c>
      <c r="G132" s="9">
        <v>0</v>
      </c>
      <c r="H132" s="9">
        <f>F132</f>
        <v>7659</v>
      </c>
      <c r="I132" s="9"/>
      <c r="J132" s="9"/>
      <c r="K132" s="9">
        <v>915</v>
      </c>
      <c r="L132" s="9">
        <f>K132</f>
        <v>915</v>
      </c>
      <c r="M132" s="9">
        <f t="shared" ref="M132:M136" si="28">H132+I132-L132-J132</f>
        <v>6744</v>
      </c>
      <c r="N132" s="27"/>
      <c r="O132" s="15"/>
      <c r="P132" s="259"/>
    </row>
    <row r="133" spans="1:16" ht="35.1" customHeight="1">
      <c r="B133" s="16" t="s">
        <v>380</v>
      </c>
      <c r="C133" s="3" t="s">
        <v>252</v>
      </c>
      <c r="D133" s="8" t="s">
        <v>246</v>
      </c>
      <c r="E133" s="315">
        <f>6252/2</f>
        <v>3126</v>
      </c>
      <c r="F133" s="9">
        <v>3251</v>
      </c>
      <c r="G133" s="9">
        <v>0</v>
      </c>
      <c r="H133" s="9">
        <f t="shared" ref="H133:H138" si="29">F133</f>
        <v>3251</v>
      </c>
      <c r="I133" s="11"/>
      <c r="J133" s="11"/>
      <c r="K133" s="9">
        <v>90</v>
      </c>
      <c r="L133" s="9">
        <f t="shared" ref="L133:L138" si="30">K133</f>
        <v>90</v>
      </c>
      <c r="M133" s="9">
        <f t="shared" si="28"/>
        <v>3161</v>
      </c>
      <c r="N133" s="9"/>
      <c r="P133" s="259"/>
    </row>
    <row r="134" spans="1:16" ht="35.1" customHeight="1">
      <c r="B134" s="16" t="s">
        <v>381</v>
      </c>
      <c r="C134" s="3" t="s">
        <v>251</v>
      </c>
      <c r="D134" s="8" t="s">
        <v>247</v>
      </c>
      <c r="E134" s="315">
        <f>8102/2</f>
        <v>4051</v>
      </c>
      <c r="F134" s="9">
        <v>4213</v>
      </c>
      <c r="G134" s="9">
        <v>0</v>
      </c>
      <c r="H134" s="9">
        <f t="shared" si="29"/>
        <v>4213</v>
      </c>
      <c r="I134" s="9"/>
      <c r="J134" s="9"/>
      <c r="K134" s="9">
        <v>321</v>
      </c>
      <c r="L134" s="9">
        <f>J134+K134</f>
        <v>321</v>
      </c>
      <c r="M134" s="9">
        <f>H134-L134</f>
        <v>3892</v>
      </c>
      <c r="N134" s="9"/>
      <c r="P134" s="259"/>
    </row>
    <row r="135" spans="1:16" ht="35.1" customHeight="1">
      <c r="B135" s="16" t="s">
        <v>382</v>
      </c>
      <c r="C135" s="3" t="s">
        <v>581</v>
      </c>
      <c r="D135" s="8" t="s">
        <v>239</v>
      </c>
      <c r="E135" s="315">
        <f>7170/2</f>
        <v>3585</v>
      </c>
      <c r="F135" s="9">
        <v>3728</v>
      </c>
      <c r="G135" s="9">
        <v>0</v>
      </c>
      <c r="H135" s="9">
        <f t="shared" si="29"/>
        <v>3728</v>
      </c>
      <c r="I135" s="11"/>
      <c r="J135" s="11"/>
      <c r="K135" s="9">
        <v>269</v>
      </c>
      <c r="L135" s="9">
        <f t="shared" si="30"/>
        <v>269</v>
      </c>
      <c r="M135" s="9">
        <f t="shared" si="28"/>
        <v>3459</v>
      </c>
      <c r="N135" s="9"/>
      <c r="P135" s="259"/>
    </row>
    <row r="136" spans="1:16" ht="35.1" customHeight="1">
      <c r="B136" s="16" t="s">
        <v>383</v>
      </c>
      <c r="C136" s="3" t="s">
        <v>249</v>
      </c>
      <c r="D136" s="8" t="s">
        <v>239</v>
      </c>
      <c r="E136" s="315">
        <f>6280/2</f>
        <v>3140</v>
      </c>
      <c r="F136" s="9">
        <v>3266</v>
      </c>
      <c r="G136" s="9">
        <v>0</v>
      </c>
      <c r="H136" s="9">
        <f t="shared" si="29"/>
        <v>3266</v>
      </c>
      <c r="I136" s="11"/>
      <c r="J136" s="11"/>
      <c r="K136" s="9">
        <v>92</v>
      </c>
      <c r="L136" s="9">
        <f t="shared" si="30"/>
        <v>92</v>
      </c>
      <c r="M136" s="9">
        <f t="shared" si="28"/>
        <v>3174</v>
      </c>
      <c r="N136" s="9"/>
      <c r="P136" s="259"/>
    </row>
    <row r="137" spans="1:16" ht="35.1" customHeight="1">
      <c r="B137" s="16" t="s">
        <v>384</v>
      </c>
      <c r="C137" s="3" t="s">
        <v>568</v>
      </c>
      <c r="D137" s="8" t="s">
        <v>247</v>
      </c>
      <c r="E137" s="315">
        <f>7160/2</f>
        <v>3580</v>
      </c>
      <c r="F137" s="9">
        <v>3723</v>
      </c>
      <c r="G137" s="9">
        <v>0</v>
      </c>
      <c r="H137" s="9">
        <f t="shared" si="29"/>
        <v>3723</v>
      </c>
      <c r="I137" s="11"/>
      <c r="J137" s="11"/>
      <c r="K137" s="9">
        <v>268</v>
      </c>
      <c r="L137" s="9">
        <f t="shared" si="30"/>
        <v>268</v>
      </c>
      <c r="M137" s="9">
        <f t="shared" ref="M137" si="31">H137+I137-L137-J137</f>
        <v>3455</v>
      </c>
      <c r="N137" s="9"/>
      <c r="P137" s="259"/>
    </row>
    <row r="138" spans="1:16" ht="35.1" customHeight="1">
      <c r="B138" s="16" t="s">
        <v>385</v>
      </c>
      <c r="C138" s="3" t="s">
        <v>248</v>
      </c>
      <c r="D138" s="8" t="s">
        <v>247</v>
      </c>
      <c r="E138" s="315">
        <f>7160/2</f>
        <v>3580</v>
      </c>
      <c r="F138" s="9">
        <v>3723</v>
      </c>
      <c r="G138" s="9">
        <v>0</v>
      </c>
      <c r="H138" s="9">
        <f t="shared" si="29"/>
        <v>3723</v>
      </c>
      <c r="I138" s="11"/>
      <c r="J138" s="11"/>
      <c r="K138" s="9">
        <v>268</v>
      </c>
      <c r="L138" s="9">
        <f t="shared" si="30"/>
        <v>268</v>
      </c>
      <c r="M138" s="9">
        <f>H138+I138-L138-J138</f>
        <v>3455</v>
      </c>
      <c r="N138" s="9"/>
      <c r="P138" s="259"/>
    </row>
    <row r="139" spans="1:16" s="21" customFormat="1" ht="18" customHeight="1" thickBot="1">
      <c r="B139" s="28" t="s">
        <v>9</v>
      </c>
      <c r="C139" s="29"/>
      <c r="D139" s="29"/>
      <c r="E139" s="317"/>
      <c r="F139" s="512">
        <f t="shared" ref="F139:M139" si="32">SUM(F132:F138)</f>
        <v>29563</v>
      </c>
      <c r="G139" s="512">
        <f t="shared" si="32"/>
        <v>0</v>
      </c>
      <c r="H139" s="512">
        <f t="shared" si="32"/>
        <v>29563</v>
      </c>
      <c r="I139" s="512">
        <f t="shared" si="32"/>
        <v>0</v>
      </c>
      <c r="J139" s="512">
        <f t="shared" si="32"/>
        <v>0</v>
      </c>
      <c r="K139" s="512">
        <f t="shared" si="32"/>
        <v>2223</v>
      </c>
      <c r="L139" s="512">
        <f t="shared" si="32"/>
        <v>2223</v>
      </c>
      <c r="M139" s="211">
        <f t="shared" si="32"/>
        <v>27340</v>
      </c>
      <c r="N139" s="562"/>
      <c r="O139" s="256">
        <f>H139+I139-L139-J139</f>
        <v>27340</v>
      </c>
      <c r="P139" s="259">
        <f t="shared" ref="P139:P167" si="33">M139-O139</f>
        <v>0</v>
      </c>
    </row>
    <row r="140" spans="1:16" ht="18" customHeight="1" thickTop="1">
      <c r="B140" s="24"/>
      <c r="E140" s="318"/>
      <c r="F140" s="12"/>
      <c r="G140" s="12"/>
      <c r="H140" s="12"/>
      <c r="I140" s="13"/>
      <c r="J140" s="13"/>
      <c r="K140" s="12"/>
      <c r="L140" s="12"/>
      <c r="M140" s="44" t="s">
        <v>46</v>
      </c>
      <c r="N140" s="26"/>
      <c r="P140" s="259"/>
    </row>
    <row r="141" spans="1:16" ht="18" customHeight="1">
      <c r="B141" s="37"/>
      <c r="C141" s="38"/>
      <c r="D141" s="38"/>
      <c r="E141" s="320"/>
      <c r="F141" s="38"/>
      <c r="G141" s="38"/>
      <c r="H141" s="38"/>
      <c r="I141" s="38"/>
      <c r="J141" s="38"/>
      <c r="K141" s="38"/>
      <c r="L141" s="38"/>
      <c r="M141" s="38"/>
      <c r="N141" s="27"/>
      <c r="P141" s="259"/>
    </row>
    <row r="142" spans="1:16" ht="18" customHeight="1">
      <c r="E142" s="319"/>
      <c r="P142" s="259"/>
    </row>
    <row r="143" spans="1:16" ht="18" customHeight="1">
      <c r="E143" s="319"/>
      <c r="P143" s="259"/>
    </row>
    <row r="144" spans="1:16" ht="18" customHeight="1">
      <c r="E144" s="319"/>
      <c r="P144" s="259"/>
    </row>
    <row r="145" spans="2:16" ht="18" customHeight="1">
      <c r="B145" s="623" t="s">
        <v>206</v>
      </c>
      <c r="C145" s="624"/>
      <c r="D145" s="624"/>
      <c r="E145" s="624"/>
      <c r="F145" s="624"/>
      <c r="G145" s="624"/>
      <c r="H145" s="624"/>
      <c r="I145" s="624"/>
      <c r="J145" s="624"/>
      <c r="K145" s="624"/>
      <c r="L145" s="624"/>
      <c r="M145" s="624"/>
      <c r="N145" s="625"/>
      <c r="P145" s="259"/>
    </row>
    <row r="146" spans="2:16" ht="18" customHeight="1">
      <c r="B146" s="626" t="s">
        <v>783</v>
      </c>
      <c r="C146" s="627"/>
      <c r="D146" s="627"/>
      <c r="E146" s="627"/>
      <c r="F146" s="627"/>
      <c r="G146" s="627"/>
      <c r="H146" s="627"/>
      <c r="I146" s="627"/>
      <c r="J146" s="627"/>
      <c r="K146" s="627"/>
      <c r="L146" s="627"/>
      <c r="M146" s="627"/>
      <c r="N146" s="628"/>
      <c r="P146" s="259"/>
    </row>
    <row r="147" spans="2:16" ht="18" customHeight="1">
      <c r="B147" s="24"/>
      <c r="C147" s="25" t="s">
        <v>0</v>
      </c>
      <c r="D147" s="25"/>
      <c r="E147" s="316"/>
      <c r="N147" s="26"/>
      <c r="P147" s="259"/>
    </row>
    <row r="148" spans="2:16" ht="36.75" customHeight="1" thickBot="1">
      <c r="B148" s="514" t="s">
        <v>1</v>
      </c>
      <c r="C148" s="458" t="s">
        <v>2</v>
      </c>
      <c r="D148" s="458"/>
      <c r="E148" s="459"/>
      <c r="F148" s="458" t="s">
        <v>3</v>
      </c>
      <c r="G148" s="458" t="s">
        <v>4</v>
      </c>
      <c r="H148" s="458" t="s">
        <v>5</v>
      </c>
      <c r="I148" s="458" t="s">
        <v>44</v>
      </c>
      <c r="J148" s="458" t="s">
        <v>561</v>
      </c>
      <c r="K148" s="458" t="s">
        <v>43</v>
      </c>
      <c r="L148" s="458" t="s">
        <v>6</v>
      </c>
      <c r="M148" s="458" t="s">
        <v>7</v>
      </c>
      <c r="N148" s="460" t="s">
        <v>29</v>
      </c>
      <c r="P148" s="259"/>
    </row>
    <row r="149" spans="2:16" ht="18" customHeight="1" thickTop="1">
      <c r="B149" s="30" t="s">
        <v>26</v>
      </c>
      <c r="E149" s="318"/>
      <c r="N149" s="26"/>
      <c r="P149" s="259"/>
    </row>
    <row r="150" spans="2:16" ht="30" customHeight="1">
      <c r="B150" s="16" t="s">
        <v>386</v>
      </c>
      <c r="C150" s="3" t="s">
        <v>630</v>
      </c>
      <c r="D150" s="8" t="s">
        <v>253</v>
      </c>
      <c r="E150" s="315">
        <f>6376/2</f>
        <v>3188</v>
      </c>
      <c r="F150" s="9">
        <v>3316</v>
      </c>
      <c r="G150" s="9">
        <v>0</v>
      </c>
      <c r="H150" s="9">
        <f>F150</f>
        <v>3316</v>
      </c>
      <c r="I150" s="11"/>
      <c r="J150" s="11"/>
      <c r="K150" s="9">
        <v>97</v>
      </c>
      <c r="L150" s="9">
        <f>K150</f>
        <v>97</v>
      </c>
      <c r="M150" s="9">
        <f>H150+I150-L150-J150</f>
        <v>3219</v>
      </c>
      <c r="N150" s="27"/>
      <c r="P150" s="259"/>
    </row>
    <row r="151" spans="2:16" ht="30" customHeight="1">
      <c r="B151" s="16" t="s">
        <v>387</v>
      </c>
      <c r="C151" s="3" t="s">
        <v>583</v>
      </c>
      <c r="D151" s="8" t="s">
        <v>254</v>
      </c>
      <c r="E151" s="315">
        <f>10384/2</f>
        <v>5192</v>
      </c>
      <c r="F151" s="9">
        <v>5400</v>
      </c>
      <c r="G151" s="9">
        <v>0</v>
      </c>
      <c r="H151" s="9">
        <f>F151</f>
        <v>5400</v>
      </c>
      <c r="I151" s="9"/>
      <c r="J151" s="9"/>
      <c r="K151" s="9">
        <v>481</v>
      </c>
      <c r="L151" s="9">
        <f>K151</f>
        <v>481</v>
      </c>
      <c r="M151" s="9">
        <f>H151+I151-L151-J151</f>
        <v>4919</v>
      </c>
      <c r="N151" s="26"/>
      <c r="P151" s="259"/>
    </row>
    <row r="152" spans="2:16" s="21" customFormat="1" ht="30" customHeight="1" thickBot="1">
      <c r="B152" s="28" t="s">
        <v>9</v>
      </c>
      <c r="C152" s="29"/>
      <c r="D152" s="29"/>
      <c r="E152" s="317"/>
      <c r="F152" s="512">
        <f>SUM(F150:F151)</f>
        <v>8716</v>
      </c>
      <c r="G152" s="512">
        <f t="shared" ref="G152:I152" si="34">SUM(G150:G151)</f>
        <v>0</v>
      </c>
      <c r="H152" s="512">
        <f>SUM(H150:H151)</f>
        <v>8716</v>
      </c>
      <c r="I152" s="512">
        <f t="shared" si="34"/>
        <v>0</v>
      </c>
      <c r="J152" s="512">
        <f>SUM(J150:J151)</f>
        <v>0</v>
      </c>
      <c r="K152" s="512">
        <f>SUM(K150:K151)</f>
        <v>578</v>
      </c>
      <c r="L152" s="512">
        <f>SUM(L150:L151)</f>
        <v>578</v>
      </c>
      <c r="M152" s="211">
        <f>SUM(M150:M151)</f>
        <v>8138</v>
      </c>
      <c r="N152" s="558"/>
      <c r="O152" s="256">
        <f>H152+I152-L152</f>
        <v>8138</v>
      </c>
      <c r="P152" s="259">
        <f t="shared" si="33"/>
        <v>0</v>
      </c>
    </row>
    <row r="153" spans="2:16" ht="18" customHeight="1" thickTop="1">
      <c r="B153" s="24"/>
      <c r="E153" s="318"/>
      <c r="F153" s="12"/>
      <c r="G153" s="12"/>
      <c r="H153" s="12"/>
      <c r="I153" s="13"/>
      <c r="J153" s="13"/>
      <c r="K153" s="12"/>
      <c r="L153" s="12"/>
      <c r="M153" s="14" t="s">
        <v>46</v>
      </c>
      <c r="N153" s="26"/>
      <c r="P153" s="259"/>
    </row>
    <row r="154" spans="2:16" ht="18" customHeight="1">
      <c r="B154" s="24"/>
      <c r="E154" s="318"/>
      <c r="N154" s="26"/>
      <c r="P154" s="259"/>
    </row>
    <row r="155" spans="2:16" ht="18" customHeight="1">
      <c r="B155" s="30" t="s">
        <v>541</v>
      </c>
      <c r="E155" s="318"/>
      <c r="N155" s="26"/>
      <c r="P155" s="259"/>
    </row>
    <row r="156" spans="2:16" ht="30" customHeight="1">
      <c r="B156" s="16" t="s">
        <v>388</v>
      </c>
      <c r="C156" s="3"/>
      <c r="D156" s="8" t="s">
        <v>255</v>
      </c>
      <c r="E156" s="315">
        <f>13508/2</f>
        <v>6754</v>
      </c>
      <c r="F156" s="388"/>
      <c r="G156" s="22">
        <v>0</v>
      </c>
      <c r="H156" s="22">
        <f>F156</f>
        <v>0</v>
      </c>
      <c r="I156" s="22"/>
      <c r="J156" s="22">
        <v>0</v>
      </c>
      <c r="K156" s="22"/>
      <c r="L156" s="22">
        <f>K156</f>
        <v>0</v>
      </c>
      <c r="M156" s="22">
        <f>H156+I156-L156-J156</f>
        <v>0</v>
      </c>
      <c r="N156" s="27"/>
      <c r="P156" s="259"/>
    </row>
    <row r="157" spans="2:16" s="21" customFormat="1" ht="30" customHeight="1" thickBot="1">
      <c r="B157" s="28" t="s">
        <v>9</v>
      </c>
      <c r="C157" s="29"/>
      <c r="D157" s="29"/>
      <c r="E157" s="317"/>
      <c r="F157" s="561">
        <f>SUM(F156)</f>
        <v>0</v>
      </c>
      <c r="G157" s="561">
        <f t="shared" ref="G157:M157" si="35">SUM(G156)</f>
        <v>0</v>
      </c>
      <c r="H157" s="561">
        <f>SUM(H156)</f>
        <v>0</v>
      </c>
      <c r="I157" s="561">
        <f t="shared" si="35"/>
        <v>0</v>
      </c>
      <c r="J157" s="561">
        <f>SUM(J156)</f>
        <v>0</v>
      </c>
      <c r="K157" s="561">
        <f>SUM(K156)</f>
        <v>0</v>
      </c>
      <c r="L157" s="561">
        <f>SUM(L156)</f>
        <v>0</v>
      </c>
      <c r="M157" s="543">
        <f t="shared" si="35"/>
        <v>0</v>
      </c>
      <c r="N157" s="560"/>
      <c r="O157" s="259">
        <f>H157+I157-L157</f>
        <v>0</v>
      </c>
      <c r="P157" s="259">
        <f t="shared" si="33"/>
        <v>0</v>
      </c>
    </row>
    <row r="158" spans="2:16" ht="18" customHeight="1" thickTop="1">
      <c r="B158" s="24"/>
      <c r="E158" s="318"/>
      <c r="F158" s="12"/>
      <c r="G158" s="12"/>
      <c r="H158" s="12"/>
      <c r="I158" s="12"/>
      <c r="J158" s="12"/>
      <c r="K158" s="12"/>
      <c r="L158" s="12"/>
      <c r="M158" s="14" t="s">
        <v>46</v>
      </c>
      <c r="N158" s="26"/>
      <c r="P158" s="259"/>
    </row>
    <row r="159" spans="2:16" ht="18" customHeight="1">
      <c r="B159" s="24"/>
      <c r="E159" s="318"/>
      <c r="F159" s="12"/>
      <c r="G159" s="12"/>
      <c r="H159" s="12"/>
      <c r="I159" s="12"/>
      <c r="J159" s="12"/>
      <c r="K159" s="12"/>
      <c r="L159" s="12"/>
      <c r="M159" s="14"/>
      <c r="N159" s="26"/>
      <c r="P159" s="259"/>
    </row>
    <row r="160" spans="2:16" ht="18" customHeight="1">
      <c r="B160" s="623" t="s">
        <v>206</v>
      </c>
      <c r="C160" s="624"/>
      <c r="D160" s="624"/>
      <c r="E160" s="624"/>
      <c r="F160" s="624"/>
      <c r="G160" s="624"/>
      <c r="H160" s="624"/>
      <c r="I160" s="624"/>
      <c r="J160" s="624"/>
      <c r="K160" s="624"/>
      <c r="L160" s="624"/>
      <c r="M160" s="624"/>
      <c r="N160" s="625"/>
      <c r="P160" s="259"/>
    </row>
    <row r="161" spans="1:79" ht="18" customHeight="1">
      <c r="B161" s="626" t="s">
        <v>784</v>
      </c>
      <c r="C161" s="627"/>
      <c r="D161" s="627"/>
      <c r="E161" s="627"/>
      <c r="F161" s="627"/>
      <c r="G161" s="627"/>
      <c r="H161" s="627"/>
      <c r="I161" s="627"/>
      <c r="J161" s="627"/>
      <c r="K161" s="627"/>
      <c r="L161" s="627"/>
      <c r="M161" s="627"/>
      <c r="N161" s="628"/>
      <c r="P161" s="259"/>
    </row>
    <row r="162" spans="1:79" ht="18" customHeight="1">
      <c r="B162" s="24"/>
      <c r="C162" s="25" t="s">
        <v>0</v>
      </c>
      <c r="D162" s="25"/>
      <c r="E162" s="316"/>
      <c r="N162" s="26"/>
      <c r="P162" s="259"/>
    </row>
    <row r="163" spans="1:79" ht="18" customHeight="1">
      <c r="B163" s="24"/>
      <c r="N163" s="26"/>
      <c r="P163" s="259"/>
    </row>
    <row r="164" spans="1:79" ht="18" customHeight="1">
      <c r="B164" s="30" t="s">
        <v>770</v>
      </c>
      <c r="E164" s="318"/>
      <c r="N164" s="26"/>
      <c r="P164" s="259"/>
    </row>
    <row r="165" spans="1:79" s="581" customFormat="1" ht="18" customHeight="1">
      <c r="A165" s="582"/>
      <c r="B165" s="16" t="s">
        <v>389</v>
      </c>
      <c r="C165" s="3" t="s">
        <v>746</v>
      </c>
      <c r="D165" s="8" t="s">
        <v>233</v>
      </c>
      <c r="E165" s="315">
        <f>12210/2</f>
        <v>6105</v>
      </c>
      <c r="F165" s="9">
        <v>6349</v>
      </c>
      <c r="G165" s="9">
        <v>0</v>
      </c>
      <c r="H165" s="9">
        <f>F165</f>
        <v>6349</v>
      </c>
      <c r="I165" s="9"/>
      <c r="J165" s="9"/>
      <c r="K165" s="9">
        <v>647</v>
      </c>
      <c r="L165" s="9">
        <f>K165</f>
        <v>647</v>
      </c>
      <c r="M165" s="9">
        <f>H165+I165-L165-J165</f>
        <v>5702</v>
      </c>
      <c r="N165" s="597"/>
      <c r="O165" s="15"/>
      <c r="P165" s="259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</row>
    <row r="166" spans="1:79" s="581" customFormat="1" ht="18" customHeight="1">
      <c r="A166" s="582"/>
      <c r="B166" s="16"/>
      <c r="C166" s="3"/>
      <c r="D166" s="8"/>
      <c r="E166" s="315"/>
      <c r="F166" s="9"/>
      <c r="G166" s="9"/>
      <c r="H166" s="9"/>
      <c r="I166" s="9"/>
      <c r="J166" s="9"/>
      <c r="K166" s="9"/>
      <c r="L166" s="9"/>
      <c r="M166" s="9"/>
      <c r="N166" s="388"/>
      <c r="O166" s="15"/>
      <c r="P166" s="259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</row>
    <row r="167" spans="1:79" ht="18" customHeight="1" thickBot="1">
      <c r="B167" s="28" t="s">
        <v>9</v>
      </c>
      <c r="C167" s="29"/>
      <c r="D167" s="29"/>
      <c r="E167" s="317"/>
      <c r="F167" s="512">
        <f>SUM(F165:F166)</f>
        <v>6349</v>
      </c>
      <c r="G167" s="512">
        <f t="shared" ref="G167:I167" si="36">SUM(G165:G165)</f>
        <v>0</v>
      </c>
      <c r="H167" s="512">
        <f>SUM(H165:H166)</f>
        <v>6349</v>
      </c>
      <c r="I167" s="512">
        <f t="shared" si="36"/>
        <v>0</v>
      </c>
      <c r="J167" s="512">
        <f>SUM(J165)</f>
        <v>0</v>
      </c>
      <c r="K167" s="512">
        <f>SUM(K165:K166)</f>
        <v>647</v>
      </c>
      <c r="L167" s="512">
        <f>SUM(L165:L166)</f>
        <v>647</v>
      </c>
      <c r="M167" s="211">
        <f>SUM(M165:M166)</f>
        <v>5702</v>
      </c>
      <c r="N167" s="560"/>
      <c r="O167" s="255">
        <f>H167+I167-L167</f>
        <v>5702</v>
      </c>
      <c r="P167" s="259">
        <f t="shared" si="33"/>
        <v>0</v>
      </c>
    </row>
    <row r="168" spans="1:79" ht="18" customHeight="1" thickTop="1">
      <c r="B168" s="37"/>
      <c r="C168" s="38"/>
      <c r="D168" s="38"/>
      <c r="E168" s="320"/>
      <c r="F168" s="39"/>
      <c r="G168" s="39"/>
      <c r="H168" s="39"/>
      <c r="I168" s="41"/>
      <c r="J168" s="41"/>
      <c r="K168" s="39"/>
      <c r="L168" s="39"/>
      <c r="M168" s="40" t="s">
        <v>46</v>
      </c>
      <c r="N168" s="27"/>
      <c r="P168" s="259"/>
    </row>
    <row r="169" spans="1:79" ht="18" customHeight="1">
      <c r="B169" s="24"/>
      <c r="C169" s="25" t="s">
        <v>0</v>
      </c>
      <c r="D169" s="25"/>
      <c r="E169" s="316"/>
      <c r="N169" s="26"/>
      <c r="P169" s="259"/>
    </row>
    <row r="170" spans="1:79" ht="36.75" customHeight="1" thickBot="1">
      <c r="B170" s="514" t="s">
        <v>1</v>
      </c>
      <c r="C170" s="458" t="s">
        <v>2</v>
      </c>
      <c r="D170" s="458"/>
      <c r="E170" s="459"/>
      <c r="F170" s="458" t="s">
        <v>3</v>
      </c>
      <c r="G170" s="458" t="s">
        <v>4</v>
      </c>
      <c r="H170" s="458" t="s">
        <v>5</v>
      </c>
      <c r="I170" s="458" t="s">
        <v>44</v>
      </c>
      <c r="J170" s="458" t="s">
        <v>561</v>
      </c>
      <c r="K170" s="458" t="s">
        <v>43</v>
      </c>
      <c r="L170" s="458" t="s">
        <v>6</v>
      </c>
      <c r="M170" s="458" t="s">
        <v>7</v>
      </c>
      <c r="N170" s="460" t="s">
        <v>29</v>
      </c>
      <c r="P170" s="259"/>
    </row>
    <row r="171" spans="1:79" ht="18" customHeight="1" thickTop="1">
      <c r="B171" s="30" t="s">
        <v>771</v>
      </c>
      <c r="E171" s="323"/>
      <c r="N171" s="26"/>
      <c r="P171" s="259"/>
    </row>
    <row r="172" spans="1:79" ht="30" customHeight="1">
      <c r="B172" s="16" t="s">
        <v>390</v>
      </c>
      <c r="C172" s="3" t="s">
        <v>582</v>
      </c>
      <c r="D172" s="8" t="s">
        <v>233</v>
      </c>
      <c r="E172" s="315">
        <f>10384/2</f>
        <v>5192</v>
      </c>
      <c r="F172" s="9">
        <v>5400</v>
      </c>
      <c r="G172" s="9">
        <v>0</v>
      </c>
      <c r="H172" s="9">
        <f>F172</f>
        <v>5400</v>
      </c>
      <c r="I172" s="9"/>
      <c r="J172" s="9"/>
      <c r="K172" s="9">
        <v>481</v>
      </c>
      <c r="L172" s="9">
        <f>K172</f>
        <v>481</v>
      </c>
      <c r="M172" s="9">
        <f>H172+I172-L172-J172</f>
        <v>4919</v>
      </c>
      <c r="N172" s="33"/>
      <c r="P172" s="259"/>
    </row>
    <row r="173" spans="1:79" s="21" customFormat="1" ht="30" customHeight="1" thickBot="1">
      <c r="B173" s="28" t="s">
        <v>9</v>
      </c>
      <c r="C173" s="29"/>
      <c r="D173" s="29"/>
      <c r="E173" s="321"/>
      <c r="F173" s="559">
        <f>SUM(F172)</f>
        <v>5400</v>
      </c>
      <c r="G173" s="559">
        <f t="shared" ref="G173:I173" si="37">SUM(G172)</f>
        <v>0</v>
      </c>
      <c r="H173" s="559">
        <f>SUM(H172)</f>
        <v>5400</v>
      </c>
      <c r="I173" s="559">
        <f t="shared" si="37"/>
        <v>0</v>
      </c>
      <c r="J173" s="559">
        <f>SUM(J172)</f>
        <v>0</v>
      </c>
      <c r="K173" s="559">
        <f>SUM(K172)</f>
        <v>481</v>
      </c>
      <c r="L173" s="559">
        <f>SUM(L172)</f>
        <v>481</v>
      </c>
      <c r="M173" s="544">
        <f>SUM(M172)</f>
        <v>4919</v>
      </c>
      <c r="N173" s="558"/>
      <c r="O173" s="256">
        <f>H173+I173-L173</f>
        <v>4919</v>
      </c>
      <c r="P173" s="259">
        <f t="shared" ref="P173" si="38">M173-O173</f>
        <v>0</v>
      </c>
    </row>
    <row r="174" spans="1:79" ht="18" customHeight="1" thickTop="1">
      <c r="B174" s="24"/>
      <c r="E174" s="323"/>
      <c r="F174" s="12"/>
      <c r="G174" s="12"/>
      <c r="H174" s="12"/>
      <c r="I174" s="12"/>
      <c r="J174" s="12"/>
      <c r="K174" s="12"/>
      <c r="L174" s="12"/>
      <c r="M174" s="12"/>
      <c r="N174" s="26"/>
      <c r="P174" s="259"/>
    </row>
    <row r="175" spans="1:79" ht="18" customHeight="1">
      <c r="B175" s="24"/>
      <c r="C175" s="25" t="s">
        <v>0</v>
      </c>
      <c r="D175" s="25"/>
      <c r="E175" s="316"/>
      <c r="N175" s="26"/>
      <c r="P175" s="259"/>
    </row>
    <row r="176" spans="1:79" ht="36.75" customHeight="1" thickBot="1">
      <c r="B176" s="514" t="s">
        <v>1</v>
      </c>
      <c r="C176" s="458" t="s">
        <v>2</v>
      </c>
      <c r="D176" s="458"/>
      <c r="E176" s="459"/>
      <c r="F176" s="458" t="s">
        <v>3</v>
      </c>
      <c r="G176" s="458" t="s">
        <v>4</v>
      </c>
      <c r="H176" s="458" t="s">
        <v>5</v>
      </c>
      <c r="I176" s="458" t="s">
        <v>44</v>
      </c>
      <c r="J176" s="458" t="s">
        <v>561</v>
      </c>
      <c r="K176" s="458" t="s">
        <v>43</v>
      </c>
      <c r="L176" s="458" t="s">
        <v>6</v>
      </c>
      <c r="M176" s="458" t="s">
        <v>7</v>
      </c>
      <c r="N176" s="460" t="s">
        <v>29</v>
      </c>
      <c r="P176" s="259"/>
    </row>
    <row r="177" spans="1:17" s="21" customFormat="1" ht="18.75" customHeight="1" thickTop="1">
      <c r="B177" s="30" t="s">
        <v>772</v>
      </c>
      <c r="C177" s="15"/>
      <c r="D177" s="15"/>
      <c r="E177" s="323"/>
      <c r="F177" s="15"/>
      <c r="G177" s="15"/>
      <c r="H177" s="15"/>
      <c r="I177" s="15"/>
      <c r="J177" s="15"/>
      <c r="K177" s="15"/>
      <c r="L177" s="15"/>
      <c r="M177" s="15"/>
      <c r="N177" s="36"/>
      <c r="P177" s="259"/>
    </row>
    <row r="178" spans="1:17" s="21" customFormat="1" ht="18.75" customHeight="1">
      <c r="B178" s="16" t="s">
        <v>391</v>
      </c>
      <c r="C178" s="218" t="s">
        <v>431</v>
      </c>
      <c r="D178" s="8" t="s">
        <v>536</v>
      </c>
      <c r="E178" s="324">
        <f>12210/2</f>
        <v>6105</v>
      </c>
      <c r="F178" s="388">
        <v>7007</v>
      </c>
      <c r="G178" s="22">
        <v>0</v>
      </c>
      <c r="H178" s="22">
        <f>F178</f>
        <v>7007</v>
      </c>
      <c r="I178" s="22"/>
      <c r="J178" s="388"/>
      <c r="K178" s="22">
        <v>776</v>
      </c>
      <c r="L178" s="22">
        <f>J178+K178</f>
        <v>776</v>
      </c>
      <c r="M178" s="22">
        <f>H178-L178</f>
        <v>6231</v>
      </c>
      <c r="N178" s="36"/>
      <c r="P178" s="259"/>
    </row>
    <row r="179" spans="1:17" s="21" customFormat="1" ht="18.75" customHeight="1">
      <c r="B179" s="30"/>
      <c r="C179" s="15"/>
      <c r="D179" s="15"/>
      <c r="E179" s="323"/>
      <c r="F179" s="556">
        <f>F178</f>
        <v>7007</v>
      </c>
      <c r="G179" s="557">
        <f>SUM(G178)</f>
        <v>0</v>
      </c>
      <c r="H179" s="556">
        <f>SUM(H178)</f>
        <v>7007</v>
      </c>
      <c r="I179" s="556">
        <f t="shared" ref="I179:L179" si="39">SUM(I178)</f>
        <v>0</v>
      </c>
      <c r="J179" s="556">
        <f>SUM(J178)</f>
        <v>0</v>
      </c>
      <c r="K179" s="556">
        <f>SUM(K178)</f>
        <v>776</v>
      </c>
      <c r="L179" s="556">
        <f t="shared" si="39"/>
        <v>776</v>
      </c>
      <c r="M179" s="545">
        <f>M178</f>
        <v>6231</v>
      </c>
      <c r="N179" s="558"/>
      <c r="O179" s="259">
        <f>H179+I179-L179</f>
        <v>6231</v>
      </c>
      <c r="P179" s="259">
        <f>M179-O179</f>
        <v>0</v>
      </c>
      <c r="Q179" s="259"/>
    </row>
    <row r="180" spans="1:17" s="21" customFormat="1" ht="18.75" customHeight="1">
      <c r="B180" s="24"/>
      <c r="C180" s="25" t="s">
        <v>0</v>
      </c>
      <c r="D180" s="25"/>
      <c r="E180" s="316"/>
      <c r="F180" s="15"/>
      <c r="G180" s="15"/>
      <c r="H180" s="15"/>
      <c r="I180" s="15"/>
      <c r="J180" s="15"/>
      <c r="K180" s="15"/>
      <c r="L180" s="15"/>
      <c r="M180" s="15"/>
      <c r="N180" s="26"/>
      <c r="O180" s="259"/>
      <c r="P180" s="259"/>
      <c r="Q180" s="259"/>
    </row>
    <row r="181" spans="1:17" s="21" customFormat="1" ht="42.75" customHeight="1" thickBot="1">
      <c r="B181" s="514" t="s">
        <v>1</v>
      </c>
      <c r="C181" s="458" t="s">
        <v>2</v>
      </c>
      <c r="D181" s="458"/>
      <c r="E181" s="459"/>
      <c r="F181" s="458" t="s">
        <v>3</v>
      </c>
      <c r="G181" s="458" t="s">
        <v>4</v>
      </c>
      <c r="H181" s="458" t="s">
        <v>5</v>
      </c>
      <c r="I181" s="458" t="s">
        <v>44</v>
      </c>
      <c r="J181" s="458" t="s">
        <v>561</v>
      </c>
      <c r="K181" s="458" t="s">
        <v>43</v>
      </c>
      <c r="L181" s="458" t="s">
        <v>6</v>
      </c>
      <c r="M181" s="458" t="s">
        <v>7</v>
      </c>
      <c r="N181" s="460" t="s">
        <v>29</v>
      </c>
      <c r="O181" s="259"/>
      <c r="P181" s="259"/>
      <c r="Q181" s="259"/>
    </row>
    <row r="182" spans="1:17" s="21" customFormat="1" ht="18.75" customHeight="1" thickTop="1">
      <c r="B182" s="630" t="s">
        <v>773</v>
      </c>
      <c r="C182" s="631"/>
      <c r="D182" s="268"/>
      <c r="E182" s="325"/>
      <c r="F182" s="268"/>
      <c r="G182" s="269"/>
      <c r="H182" s="269"/>
      <c r="I182" s="268"/>
      <c r="J182" s="268"/>
      <c r="K182" s="268"/>
      <c r="L182" s="269"/>
      <c r="M182" s="270"/>
      <c r="N182" s="271"/>
      <c r="O182" s="259"/>
      <c r="P182" s="259"/>
      <c r="Q182" s="259"/>
    </row>
    <row r="183" spans="1:17" s="21" customFormat="1" ht="18.75" customHeight="1">
      <c r="B183" s="16" t="s">
        <v>768</v>
      </c>
      <c r="C183" s="249" t="s">
        <v>563</v>
      </c>
      <c r="D183" s="274" t="s">
        <v>193</v>
      </c>
      <c r="E183" s="326">
        <f>10384/2</f>
        <v>5192</v>
      </c>
      <c r="F183" s="272">
        <v>5400</v>
      </c>
      <c r="G183" s="3">
        <v>0</v>
      </c>
      <c r="H183" s="272">
        <f>F183</f>
        <v>5400</v>
      </c>
      <c r="I183" s="3"/>
      <c r="J183" s="3"/>
      <c r="K183" s="3">
        <v>481</v>
      </c>
      <c r="L183" s="3">
        <f>K183</f>
        <v>481</v>
      </c>
      <c r="M183" s="272">
        <f>F183-L183-J183</f>
        <v>4919</v>
      </c>
      <c r="N183" s="273"/>
    </row>
    <row r="184" spans="1:17" s="21" customFormat="1" ht="18.75" customHeight="1" thickBot="1">
      <c r="B184" s="540"/>
      <c r="C184" s="240"/>
      <c r="D184" s="240"/>
      <c r="E184" s="541"/>
      <c r="F184" s="553">
        <f>F183</f>
        <v>5400</v>
      </c>
      <c r="G184" s="549">
        <f>SUM(G183)</f>
        <v>0</v>
      </c>
      <c r="H184" s="553">
        <f>H183</f>
        <v>5400</v>
      </c>
      <c r="I184" s="549"/>
      <c r="J184" s="554">
        <f>SUM(J183)</f>
        <v>0</v>
      </c>
      <c r="K184" s="549">
        <f>K183</f>
        <v>481</v>
      </c>
      <c r="L184" s="549">
        <f>L183</f>
        <v>481</v>
      </c>
      <c r="M184" s="546">
        <f>M183</f>
        <v>4919</v>
      </c>
      <c r="N184" s="555"/>
      <c r="O184" s="259">
        <f>M184</f>
        <v>4919</v>
      </c>
    </row>
    <row r="185" spans="1:17" s="21" customFormat="1" ht="18.75" customHeight="1" thickTop="1">
      <c r="B185" s="30"/>
      <c r="C185"/>
      <c r="D185"/>
      <c r="E185" s="327"/>
      <c r="F185" s="254"/>
      <c r="G185" s="15"/>
      <c r="H185" s="254"/>
      <c r="I185" s="15"/>
      <c r="J185" s="408"/>
      <c r="K185" s="15"/>
      <c r="L185" s="15"/>
      <c r="M185" s="254"/>
      <c r="N185" s="36"/>
      <c r="O185" s="259"/>
    </row>
    <row r="186" spans="1:17" s="21" customFormat="1" ht="18.75" customHeight="1">
      <c r="B186" s="30"/>
      <c r="C186"/>
      <c r="D186"/>
      <c r="E186" s="327"/>
      <c r="F186" s="254"/>
      <c r="G186" s="15"/>
      <c r="H186" s="254"/>
      <c r="I186" s="15"/>
      <c r="J186" s="408"/>
      <c r="K186" s="15"/>
      <c r="L186" s="15"/>
      <c r="M186" s="254"/>
      <c r="N186" s="36"/>
      <c r="O186" s="259"/>
    </row>
    <row r="187" spans="1:17" ht="30" customHeight="1" thickBot="1">
      <c r="B187" s="633" t="s">
        <v>27</v>
      </c>
      <c r="C187" s="634"/>
      <c r="D187" s="549"/>
      <c r="E187" s="550"/>
      <c r="F187" s="551">
        <f>F9+F14+F18+F24+F34+F39+F47+F53+F63+F70+F75+F92+F97+F102+F115+F121+F139+F152+F157+F167+F173+F179+F184</f>
        <v>277268</v>
      </c>
      <c r="G187" s="551">
        <f>G9+G14+G18+G24+G34+G39+G47+G53+G63+G70+G75+G92+G97+G102+G115+G121+G139+G152+G157+G167+G173</f>
        <v>0</v>
      </c>
      <c r="H187" s="551">
        <f>H9+H14+H18+H24+H34+H39+H47+H53+H63+H70+H75+H92+H97+H102+H115+H121+H139+H152+H157+H167+H173+H179+H184</f>
        <v>277268</v>
      </c>
      <c r="I187" s="551">
        <f>I9+I14+I18+I24+I34+I39+I47+I53+I63+I70+I75+I92+I97+I102+I115+I121+I139+I152+I157+I167+I173+I179+I184</f>
        <v>24.04</v>
      </c>
      <c r="J187" s="551">
        <f>J184+J179+J173+J167+J157+J152+J139+J121+J115+J102+J97+J92+J75+J70+J63+J53+J47+J39+J34+J24+J18+J14+J9</f>
        <v>1000</v>
      </c>
      <c r="K187" s="551">
        <f>K9+K14+K18+K24+K34+K39+K47+K53+K63+K70+K75+K92+K97+K102+K115+K121+K139+K152+K157+K167+K173+K179+K184</f>
        <v>28228</v>
      </c>
      <c r="L187" s="551">
        <f>L9+L14+L18+L24+L34+L39+L47+L53+L63+L70+L75+L92+L97+L102+L115+L121+L139+L152+L157+L167+L173+L179+L184</f>
        <v>29228</v>
      </c>
      <c r="M187" s="513">
        <f>M9+M14+M18+M24+M34+M39+M47+M53+M63+M70+M75+M92+M97+M102+M115+M121+M139+M152+M157+M167+M173+M179+M184</f>
        <v>248064.04</v>
      </c>
      <c r="N187" s="552"/>
    </row>
    <row r="188" spans="1:17" ht="12" thickTop="1">
      <c r="B188" s="24"/>
      <c r="E188" s="323"/>
      <c r="M188" s="214"/>
      <c r="N188" s="26"/>
    </row>
    <row r="189" spans="1:17">
      <c r="B189" s="24"/>
      <c r="E189" s="323"/>
      <c r="N189" s="26"/>
    </row>
    <row r="190" spans="1:17">
      <c r="A190" s="26"/>
      <c r="C190" s="38"/>
      <c r="E190" s="323"/>
      <c r="F190" s="38" t="s">
        <v>28</v>
      </c>
      <c r="G190" s="38" t="s">
        <v>28</v>
      </c>
      <c r="H190" s="38"/>
      <c r="K190" s="15" t="s">
        <v>28</v>
      </c>
      <c r="L190" s="38" t="s">
        <v>28</v>
      </c>
      <c r="M190" s="38" t="s">
        <v>28</v>
      </c>
      <c r="N190" s="26"/>
    </row>
    <row r="191" spans="1:17" ht="12.75">
      <c r="B191" s="638" t="s">
        <v>708</v>
      </c>
      <c r="C191" s="632"/>
      <c r="D191" s="43"/>
      <c r="E191" s="328"/>
      <c r="F191" s="635" t="s">
        <v>765</v>
      </c>
      <c r="G191" s="635"/>
      <c r="H191" s="635"/>
      <c r="I191" s="149"/>
      <c r="J191" s="149"/>
      <c r="K191" s="45"/>
      <c r="L191" s="632" t="s">
        <v>571</v>
      </c>
      <c r="M191" s="632"/>
      <c r="N191" s="26"/>
    </row>
    <row r="192" spans="1:17">
      <c r="B192" s="639" t="s">
        <v>420</v>
      </c>
      <c r="C192" s="629"/>
      <c r="D192" s="46"/>
      <c r="E192" s="329"/>
      <c r="F192" s="629" t="s">
        <v>420</v>
      </c>
      <c r="G192" s="629"/>
      <c r="H192" s="629"/>
      <c r="I192" s="38"/>
      <c r="J192" s="46"/>
      <c r="K192" s="38"/>
      <c r="L192" s="629" t="s">
        <v>419</v>
      </c>
      <c r="M192" s="629"/>
      <c r="N192" s="27"/>
    </row>
    <row r="196" spans="3:15">
      <c r="C196" s="305"/>
    </row>
    <row r="197" spans="3:15">
      <c r="F197" s="254">
        <f>SUM(F179+F173+F167+F157+F152+F139+F121+F102+F97+F115+F92+F75+F70+F63+F53+F47+F39+F34+F24+F18+F14+F9+F184)</f>
        <v>277268</v>
      </c>
      <c r="K197" s="255">
        <f>H187+I187-L187</f>
        <v>248064.03999999998</v>
      </c>
      <c r="L197" s="255"/>
      <c r="M197" s="12">
        <f>F187+I187-L187</f>
        <v>248064.03999999998</v>
      </c>
      <c r="O197" s="263">
        <f>SUM(O7:O192)</f>
        <v>247064.04</v>
      </c>
    </row>
    <row r="198" spans="3:15">
      <c r="F198" s="433">
        <f>F187-H187</f>
        <v>0</v>
      </c>
      <c r="K198" s="433">
        <f>M187-K197</f>
        <v>0</v>
      </c>
      <c r="M198" s="434">
        <f>M187-M197</f>
        <v>0</v>
      </c>
    </row>
    <row r="199" spans="3:15">
      <c r="H199" s="254"/>
      <c r="M199" s="278">
        <f>SUM(M197:M198)</f>
        <v>248064.03999999998</v>
      </c>
    </row>
    <row r="200" spans="3:15">
      <c r="M200" s="255"/>
    </row>
    <row r="201" spans="3:15">
      <c r="M201" s="255"/>
    </row>
  </sheetData>
  <mergeCells count="26">
    <mergeCell ref="C1:I1"/>
    <mergeCell ref="B191:C191"/>
    <mergeCell ref="B192:C192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46:N146"/>
    <mergeCell ref="B105:N105"/>
    <mergeCell ref="B106:N106"/>
    <mergeCell ref="B127:N127"/>
    <mergeCell ref="B128:N128"/>
    <mergeCell ref="B145:N145"/>
    <mergeCell ref="L192:M192"/>
    <mergeCell ref="B182:C182"/>
    <mergeCell ref="L191:M191"/>
    <mergeCell ref="B160:N160"/>
    <mergeCell ref="B161:N161"/>
    <mergeCell ref="B187:C187"/>
    <mergeCell ref="F192:H192"/>
    <mergeCell ref="F191:H191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56"/>
  <sheetViews>
    <sheetView tabSelected="1" topLeftCell="A33" zoomScale="98" zoomScaleNormal="98" workbookViewId="0">
      <selection activeCell="I34" sqref="I34"/>
    </sheetView>
  </sheetViews>
  <sheetFormatPr baseColWidth="10" defaultRowHeight="11.25"/>
  <cols>
    <col min="1" max="1" width="8" style="103" customWidth="1"/>
    <col min="2" max="2" width="7.140625" style="103" customWidth="1"/>
    <col min="3" max="3" width="10.7109375" style="103" customWidth="1"/>
    <col min="4" max="4" width="9.85546875" style="103" customWidth="1"/>
    <col min="5" max="5" width="18.85546875" style="103" customWidth="1"/>
    <col min="6" max="6" width="11.28515625" style="103" bestFit="1" customWidth="1"/>
    <col min="7" max="7" width="9.140625" style="103" hidden="1" customWidth="1"/>
    <col min="8" max="8" width="5.140625" style="103" customWidth="1"/>
    <col min="9" max="9" width="13.42578125" style="103" customWidth="1"/>
    <col min="10" max="10" width="5.85546875" style="103" hidden="1" customWidth="1"/>
    <col min="11" max="11" width="13.28515625" style="103" customWidth="1"/>
    <col min="12" max="12" width="10.7109375" style="103" customWidth="1"/>
    <col min="13" max="13" width="11.5703125" style="103" customWidth="1"/>
    <col min="14" max="14" width="13" style="103" customWidth="1"/>
    <col min="15" max="15" width="12" style="103" customWidth="1"/>
    <col min="16" max="16" width="13.140625" style="103" customWidth="1"/>
    <col min="17" max="17" width="29.5703125" style="103" customWidth="1"/>
    <col min="18" max="18" width="25.85546875" style="103" customWidth="1"/>
    <col min="19" max="19" width="23.42578125" style="103" customWidth="1"/>
    <col min="20" max="20" width="20.140625" style="103" customWidth="1"/>
    <col min="21" max="22" width="11.42578125" style="103" customWidth="1"/>
    <col min="23" max="16384" width="11.42578125" style="103"/>
  </cols>
  <sheetData>
    <row r="2" spans="2:22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3" spans="2:22" ht="19.5">
      <c r="B3" s="651" t="s">
        <v>206</v>
      </c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3"/>
    </row>
    <row r="4" spans="2:22" ht="17.25">
      <c r="B4" s="654" t="s">
        <v>785</v>
      </c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6"/>
    </row>
    <row r="5" spans="2:22">
      <c r="B5" s="104"/>
      <c r="Q5" s="105"/>
    </row>
    <row r="6" spans="2:22">
      <c r="B6" s="104"/>
      <c r="Q6" s="105"/>
    </row>
    <row r="7" spans="2:22" ht="12.75">
      <c r="B7" s="106"/>
      <c r="C7" s="54" t="s">
        <v>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107"/>
    </row>
    <row r="8" spans="2:22" s="108" customFormat="1" ht="12" customHeight="1">
      <c r="B8" s="461" t="s">
        <v>151</v>
      </c>
      <c r="C8" s="462">
        <v>0</v>
      </c>
      <c r="D8" s="462"/>
      <c r="E8" s="462"/>
      <c r="F8" s="462"/>
      <c r="G8" s="463" t="s">
        <v>28</v>
      </c>
      <c r="H8" s="462"/>
      <c r="I8" s="646" t="s">
        <v>55</v>
      </c>
      <c r="J8" s="647"/>
      <c r="K8" s="648"/>
      <c r="L8" s="464"/>
      <c r="M8" s="464"/>
      <c r="N8" s="646" t="s">
        <v>56</v>
      </c>
      <c r="O8" s="649"/>
      <c r="P8" s="464"/>
      <c r="Q8" s="657" t="s">
        <v>205</v>
      </c>
    </row>
    <row r="9" spans="2:22" s="108" customFormat="1" ht="12.75" customHeight="1">
      <c r="B9" s="465" t="s">
        <v>152</v>
      </c>
      <c r="C9" s="650" t="s">
        <v>47</v>
      </c>
      <c r="D9" s="650"/>
      <c r="E9" s="650"/>
      <c r="F9" s="466"/>
      <c r="G9" s="467"/>
      <c r="H9" s="468" t="s">
        <v>58</v>
      </c>
      <c r="I9" s="469" t="s">
        <v>3</v>
      </c>
      <c r="J9" s="470" t="s">
        <v>60</v>
      </c>
      <c r="K9" s="471" t="s">
        <v>153</v>
      </c>
      <c r="L9" s="470" t="s">
        <v>62</v>
      </c>
      <c r="M9" s="472" t="s">
        <v>561</v>
      </c>
      <c r="N9" s="473"/>
      <c r="O9" s="474" t="s">
        <v>153</v>
      </c>
      <c r="P9" s="475" t="s">
        <v>154</v>
      </c>
      <c r="Q9" s="658"/>
      <c r="R9" s="285" t="s">
        <v>575</v>
      </c>
      <c r="S9" s="285" t="s">
        <v>576</v>
      </c>
    </row>
    <row r="10" spans="2:22" s="108" customFormat="1" ht="14.25">
      <c r="B10" s="476" t="s">
        <v>155</v>
      </c>
      <c r="C10" s="477" t="s">
        <v>48</v>
      </c>
      <c r="D10" s="478" t="s">
        <v>49</v>
      </c>
      <c r="E10" s="478" t="s">
        <v>50</v>
      </c>
      <c r="F10" s="478" t="s">
        <v>51</v>
      </c>
      <c r="G10" s="479"/>
      <c r="H10" s="478" t="s">
        <v>156</v>
      </c>
      <c r="I10" s="480" t="s">
        <v>157</v>
      </c>
      <c r="J10" s="481" t="s">
        <v>191</v>
      </c>
      <c r="K10" s="482" t="s">
        <v>159</v>
      </c>
      <c r="L10" s="481" t="s">
        <v>160</v>
      </c>
      <c r="M10" s="481"/>
      <c r="N10" s="478" t="s">
        <v>70</v>
      </c>
      <c r="O10" s="478" t="s">
        <v>161</v>
      </c>
      <c r="P10" s="483" t="s">
        <v>162</v>
      </c>
      <c r="Q10" s="659"/>
    </row>
    <row r="11" spans="2:22">
      <c r="B11" s="109" t="s">
        <v>192</v>
      </c>
      <c r="Q11" s="110"/>
    </row>
    <row r="12" spans="2:22" s="115" customFormat="1" ht="30" customHeight="1">
      <c r="B12" s="75">
        <v>1</v>
      </c>
      <c r="C12" s="75"/>
      <c r="D12" s="75"/>
      <c r="E12" s="75" t="s">
        <v>751</v>
      </c>
      <c r="F12" s="3" t="s">
        <v>752</v>
      </c>
      <c r="G12" s="330">
        <f>20530/2</f>
        <v>10265</v>
      </c>
      <c r="H12" s="79">
        <v>15</v>
      </c>
      <c r="I12" s="77">
        <v>10675</v>
      </c>
      <c r="J12" s="77"/>
      <c r="K12" s="77">
        <f>I12</f>
        <v>10675</v>
      </c>
      <c r="L12" s="77">
        <v>0</v>
      </c>
      <c r="M12" s="77"/>
      <c r="N12" s="77">
        <v>1560</v>
      </c>
      <c r="O12" s="77">
        <f>N12+M12</f>
        <v>1560</v>
      </c>
      <c r="P12" s="111">
        <f>K12-O12</f>
        <v>9115</v>
      </c>
      <c r="Q12" s="112"/>
      <c r="R12" s="113"/>
      <c r="S12" s="113"/>
      <c r="T12" s="113"/>
      <c r="U12" s="113"/>
      <c r="V12" s="114"/>
    </row>
    <row r="13" spans="2:22" s="115" customFormat="1" ht="30" customHeight="1">
      <c r="B13" s="75">
        <f>B12+1</f>
        <v>2</v>
      </c>
      <c r="C13" s="75"/>
      <c r="D13" s="75"/>
      <c r="E13" s="127" t="s">
        <v>194</v>
      </c>
      <c r="F13" s="3" t="s">
        <v>195</v>
      </c>
      <c r="G13" s="330">
        <f>12736/2</f>
        <v>6368</v>
      </c>
      <c r="H13" s="79">
        <v>15</v>
      </c>
      <c r="I13" s="77">
        <v>6623</v>
      </c>
      <c r="J13" s="77"/>
      <c r="K13" s="77">
        <f t="shared" ref="K13:K38" si="0">(I13+J13)</f>
        <v>6623</v>
      </c>
      <c r="L13" s="77">
        <v>0</v>
      </c>
      <c r="M13" s="77"/>
      <c r="N13" s="77">
        <v>696</v>
      </c>
      <c r="O13" s="77">
        <f t="shared" ref="O13:O38" si="1">N13+M13</f>
        <v>696</v>
      </c>
      <c r="P13" s="111">
        <f t="shared" ref="P13:P37" si="2">K13-O13</f>
        <v>5927</v>
      </c>
      <c r="Q13" s="112"/>
      <c r="R13" s="113"/>
      <c r="S13" s="113"/>
      <c r="T13" s="113"/>
      <c r="U13" s="113"/>
      <c r="V13" s="114"/>
    </row>
    <row r="14" spans="2:22" s="115" customFormat="1" ht="30" customHeight="1">
      <c r="B14" s="75">
        <f t="shared" ref="B14:B37" si="3">B13+1</f>
        <v>3</v>
      </c>
      <c r="C14" s="75"/>
      <c r="D14" s="75"/>
      <c r="E14" s="66" t="s">
        <v>196</v>
      </c>
      <c r="F14" s="3" t="s">
        <v>195</v>
      </c>
      <c r="G14" s="330">
        <f>12736/2</f>
        <v>6368</v>
      </c>
      <c r="H14" s="79">
        <v>15</v>
      </c>
      <c r="I14" s="77">
        <v>6623</v>
      </c>
      <c r="J14" s="77"/>
      <c r="K14" s="77">
        <f t="shared" si="0"/>
        <v>6623</v>
      </c>
      <c r="L14" s="77">
        <v>0</v>
      </c>
      <c r="M14" s="77"/>
      <c r="N14" s="77">
        <v>696</v>
      </c>
      <c r="O14" s="77">
        <f t="shared" si="1"/>
        <v>696</v>
      </c>
      <c r="P14" s="111">
        <f t="shared" si="2"/>
        <v>5927</v>
      </c>
      <c r="Q14" s="112"/>
      <c r="R14" s="113"/>
      <c r="S14" s="113"/>
      <c r="T14" s="113"/>
      <c r="U14" s="113"/>
      <c r="V14" s="114"/>
    </row>
    <row r="15" spans="2:22" s="115" customFormat="1" ht="30" customHeight="1">
      <c r="B15" s="75">
        <v>4</v>
      </c>
      <c r="C15" s="75"/>
      <c r="D15" s="75"/>
      <c r="E15" s="75" t="s">
        <v>769</v>
      </c>
      <c r="F15" s="3" t="s">
        <v>195</v>
      </c>
      <c r="G15" s="330"/>
      <c r="H15" s="79">
        <v>15</v>
      </c>
      <c r="I15" s="77">
        <v>6623</v>
      </c>
      <c r="J15" s="77"/>
      <c r="K15" s="77">
        <v>6623</v>
      </c>
      <c r="L15" s="77"/>
      <c r="M15" s="77"/>
      <c r="N15" s="77">
        <v>696</v>
      </c>
      <c r="O15" s="77">
        <f t="shared" si="1"/>
        <v>696</v>
      </c>
      <c r="P15" s="111">
        <f t="shared" si="2"/>
        <v>5927</v>
      </c>
      <c r="Q15" s="112"/>
      <c r="R15" s="113" t="s">
        <v>774</v>
      </c>
      <c r="S15" s="113"/>
      <c r="T15" s="113"/>
      <c r="U15" s="113"/>
      <c r="V15" s="114"/>
    </row>
    <row r="16" spans="2:22" s="115" customFormat="1" ht="30" customHeight="1">
      <c r="B16" s="75">
        <v>5</v>
      </c>
      <c r="C16" s="75"/>
      <c r="D16" s="75"/>
      <c r="E16" s="66" t="s">
        <v>197</v>
      </c>
      <c r="F16" s="3" t="s">
        <v>198</v>
      </c>
      <c r="G16" s="330">
        <f t="shared" ref="G16:G23" si="4">9242/2</f>
        <v>4621</v>
      </c>
      <c r="H16" s="79">
        <v>15</v>
      </c>
      <c r="I16" s="77">
        <v>4806</v>
      </c>
      <c r="J16" s="77"/>
      <c r="K16" s="77">
        <f t="shared" si="0"/>
        <v>4806</v>
      </c>
      <c r="L16" s="77">
        <v>0</v>
      </c>
      <c r="M16" s="77"/>
      <c r="N16" s="77">
        <v>386</v>
      </c>
      <c r="O16" s="77">
        <f t="shared" si="1"/>
        <v>386</v>
      </c>
      <c r="P16" s="111">
        <f t="shared" si="2"/>
        <v>4420</v>
      </c>
      <c r="Q16" s="112"/>
      <c r="R16" s="113"/>
      <c r="S16" s="113"/>
      <c r="T16" s="113"/>
      <c r="U16" s="113"/>
      <c r="V16" s="114"/>
    </row>
    <row r="17" spans="1:22" s="115" customFormat="1" ht="30" customHeight="1">
      <c r="B17" s="75">
        <v>6</v>
      </c>
      <c r="C17" s="75"/>
      <c r="D17" s="75"/>
      <c r="E17" s="66" t="s">
        <v>200</v>
      </c>
      <c r="F17" s="3" t="s">
        <v>198</v>
      </c>
      <c r="G17" s="330">
        <f t="shared" si="4"/>
        <v>4621</v>
      </c>
      <c r="H17" s="79">
        <v>15</v>
      </c>
      <c r="I17" s="77">
        <v>4806</v>
      </c>
      <c r="J17" s="77"/>
      <c r="K17" s="77">
        <f t="shared" si="0"/>
        <v>4806</v>
      </c>
      <c r="L17" s="77">
        <v>0</v>
      </c>
      <c r="M17" s="77"/>
      <c r="N17" s="77">
        <v>386</v>
      </c>
      <c r="O17" s="77">
        <f t="shared" si="1"/>
        <v>386</v>
      </c>
      <c r="P17" s="111">
        <f t="shared" si="2"/>
        <v>4420</v>
      </c>
      <c r="Q17" s="112"/>
      <c r="R17" s="113"/>
      <c r="S17" s="113"/>
      <c r="T17" s="113"/>
      <c r="U17" s="113"/>
      <c r="V17" s="114"/>
    </row>
    <row r="18" spans="1:22" s="115" customFormat="1" ht="30" customHeight="1">
      <c r="B18" s="75">
        <f t="shared" si="3"/>
        <v>7</v>
      </c>
      <c r="C18" s="66"/>
      <c r="D18" s="66"/>
      <c r="E18" s="127" t="s">
        <v>201</v>
      </c>
      <c r="F18" s="116" t="s">
        <v>198</v>
      </c>
      <c r="G18" s="331">
        <f t="shared" si="4"/>
        <v>4621</v>
      </c>
      <c r="H18" s="117">
        <v>15</v>
      </c>
      <c r="I18" s="77">
        <v>4806</v>
      </c>
      <c r="J18" s="68"/>
      <c r="K18" s="77">
        <f t="shared" si="0"/>
        <v>4806</v>
      </c>
      <c r="L18" s="77">
        <v>0</v>
      </c>
      <c r="M18" s="77"/>
      <c r="N18" s="77">
        <v>386</v>
      </c>
      <c r="O18" s="77">
        <f t="shared" si="1"/>
        <v>386</v>
      </c>
      <c r="P18" s="111">
        <f t="shared" si="2"/>
        <v>4420</v>
      </c>
      <c r="Q18" s="118"/>
      <c r="R18" s="113"/>
      <c r="S18" s="113"/>
      <c r="T18" s="242">
        <v>10</v>
      </c>
      <c r="U18" s="242">
        <f>I18/15*T18</f>
        <v>3204</v>
      </c>
      <c r="V18" s="114">
        <f>U18</f>
        <v>3204</v>
      </c>
    </row>
    <row r="19" spans="1:22" s="115" customFormat="1" ht="30" customHeight="1">
      <c r="B19" s="75">
        <f t="shared" si="3"/>
        <v>8</v>
      </c>
      <c r="C19" s="75"/>
      <c r="D19" s="75"/>
      <c r="E19" s="66" t="s">
        <v>83</v>
      </c>
      <c r="F19" s="3" t="s">
        <v>198</v>
      </c>
      <c r="G19" s="330">
        <f t="shared" si="4"/>
        <v>4621</v>
      </c>
      <c r="H19" s="79">
        <v>15</v>
      </c>
      <c r="I19" s="77">
        <v>4806</v>
      </c>
      <c r="J19" s="77"/>
      <c r="K19" s="77">
        <f t="shared" si="0"/>
        <v>4806</v>
      </c>
      <c r="L19" s="77">
        <v>0</v>
      </c>
      <c r="M19" s="585">
        <v>900</v>
      </c>
      <c r="N19" s="77">
        <v>386</v>
      </c>
      <c r="O19" s="77">
        <f t="shared" si="1"/>
        <v>1286</v>
      </c>
      <c r="P19" s="111">
        <f t="shared" si="2"/>
        <v>3520</v>
      </c>
      <c r="Q19" s="112"/>
      <c r="R19" s="113"/>
      <c r="S19" s="113"/>
      <c r="T19" s="113"/>
      <c r="U19" s="113"/>
      <c r="V19" s="114"/>
    </row>
    <row r="20" spans="1:22" s="115" customFormat="1" ht="30" customHeight="1">
      <c r="B20" s="75">
        <f t="shared" si="3"/>
        <v>9</v>
      </c>
      <c r="C20" s="75"/>
      <c r="D20" s="75"/>
      <c r="E20" s="66" t="s">
        <v>543</v>
      </c>
      <c r="F20" s="3" t="s">
        <v>198</v>
      </c>
      <c r="G20" s="330">
        <f t="shared" si="4"/>
        <v>4621</v>
      </c>
      <c r="H20" s="79">
        <v>15</v>
      </c>
      <c r="I20" s="77">
        <v>4806</v>
      </c>
      <c r="J20" s="77"/>
      <c r="K20" s="77">
        <f t="shared" si="0"/>
        <v>4806</v>
      </c>
      <c r="L20" s="77">
        <v>0</v>
      </c>
      <c r="M20" s="77"/>
      <c r="N20" s="77">
        <v>386</v>
      </c>
      <c r="O20" s="77">
        <f t="shared" si="1"/>
        <v>386</v>
      </c>
      <c r="P20" s="111">
        <f t="shared" si="2"/>
        <v>4420</v>
      </c>
      <c r="Q20" s="112"/>
      <c r="R20" s="113"/>
      <c r="S20" s="113"/>
      <c r="T20" s="113"/>
      <c r="U20" s="113"/>
      <c r="V20" s="114"/>
    </row>
    <row r="21" spans="1:22" s="115" customFormat="1" ht="30" customHeight="1">
      <c r="B21" s="75">
        <f t="shared" si="3"/>
        <v>10</v>
      </c>
      <c r="C21" s="75"/>
      <c r="D21" s="75"/>
      <c r="E21" s="66" t="s">
        <v>202</v>
      </c>
      <c r="F21" s="3" t="s">
        <v>198</v>
      </c>
      <c r="G21" s="330">
        <f t="shared" si="4"/>
        <v>4621</v>
      </c>
      <c r="H21" s="79">
        <v>15</v>
      </c>
      <c r="I21" s="77">
        <v>4806</v>
      </c>
      <c r="J21" s="119"/>
      <c r="K21" s="77">
        <f t="shared" si="0"/>
        <v>4806</v>
      </c>
      <c r="L21" s="77">
        <v>0</v>
      </c>
      <c r="M21" s="77"/>
      <c r="N21" s="77">
        <v>386</v>
      </c>
      <c r="O21" s="77">
        <f t="shared" si="1"/>
        <v>386</v>
      </c>
      <c r="P21" s="111">
        <f t="shared" si="2"/>
        <v>4420</v>
      </c>
      <c r="Q21" s="112"/>
      <c r="R21" s="113"/>
      <c r="S21" s="113"/>
      <c r="T21" s="242">
        <v>10</v>
      </c>
      <c r="U21" s="243">
        <f>I21/15*T21</f>
        <v>3204</v>
      </c>
      <c r="V21" s="114">
        <f>U21</f>
        <v>3204</v>
      </c>
    </row>
    <row r="22" spans="1:22" s="115" customFormat="1" ht="30" customHeight="1">
      <c r="B22" s="75">
        <f t="shared" si="3"/>
        <v>11</v>
      </c>
      <c r="C22" s="75"/>
      <c r="D22" s="75"/>
      <c r="E22" s="66" t="s">
        <v>203</v>
      </c>
      <c r="F22" s="3" t="s">
        <v>198</v>
      </c>
      <c r="G22" s="330">
        <f t="shared" si="4"/>
        <v>4621</v>
      </c>
      <c r="H22" s="79">
        <v>15</v>
      </c>
      <c r="I22" s="77">
        <v>4806</v>
      </c>
      <c r="J22" s="77"/>
      <c r="K22" s="77">
        <f t="shared" si="0"/>
        <v>4806</v>
      </c>
      <c r="L22" s="77">
        <v>0</v>
      </c>
      <c r="M22" s="77"/>
      <c r="N22" s="77">
        <v>386</v>
      </c>
      <c r="O22" s="77">
        <f t="shared" si="1"/>
        <v>386</v>
      </c>
      <c r="P22" s="111">
        <f t="shared" si="2"/>
        <v>4420</v>
      </c>
      <c r="Q22" s="112"/>
      <c r="T22" s="113"/>
      <c r="U22" s="113"/>
      <c r="V22" s="114"/>
    </row>
    <row r="23" spans="1:22" s="115" customFormat="1" ht="30" customHeight="1">
      <c r="B23" s="75">
        <f t="shared" si="3"/>
        <v>12</v>
      </c>
      <c r="C23" s="75"/>
      <c r="D23" s="75"/>
      <c r="E23" s="127" t="s">
        <v>270</v>
      </c>
      <c r="F23" s="3" t="s">
        <v>198</v>
      </c>
      <c r="G23" s="330">
        <f t="shared" si="4"/>
        <v>4621</v>
      </c>
      <c r="H23" s="79">
        <v>15</v>
      </c>
      <c r="I23" s="77">
        <v>4806</v>
      </c>
      <c r="J23" s="77"/>
      <c r="K23" s="77">
        <f t="shared" si="0"/>
        <v>4806</v>
      </c>
      <c r="L23" s="77">
        <v>0</v>
      </c>
      <c r="M23" s="77"/>
      <c r="N23" s="77">
        <v>386</v>
      </c>
      <c r="O23" s="77">
        <f t="shared" si="1"/>
        <v>386</v>
      </c>
      <c r="P23" s="111">
        <f t="shared" si="2"/>
        <v>4420</v>
      </c>
      <c r="Q23" s="112"/>
      <c r="T23" s="113" t="s">
        <v>271</v>
      </c>
      <c r="U23" s="113"/>
      <c r="V23" s="114"/>
    </row>
    <row r="24" spans="1:22" s="115" customFormat="1" ht="30" customHeight="1">
      <c r="B24" s="75">
        <f t="shared" si="3"/>
        <v>13</v>
      </c>
      <c r="C24" s="75"/>
      <c r="D24" s="75"/>
      <c r="E24" s="405" t="s">
        <v>629</v>
      </c>
      <c r="F24" s="3" t="s">
        <v>198</v>
      </c>
      <c r="G24" s="330">
        <f>9242/2</f>
        <v>4621</v>
      </c>
      <c r="H24" s="79">
        <v>15</v>
      </c>
      <c r="I24" s="77">
        <v>4806</v>
      </c>
      <c r="J24" s="77"/>
      <c r="K24" s="77">
        <f t="shared" si="0"/>
        <v>4806</v>
      </c>
      <c r="L24" s="77">
        <v>0</v>
      </c>
      <c r="M24" s="77"/>
      <c r="N24" s="77">
        <v>386</v>
      </c>
      <c r="O24" s="77">
        <f t="shared" si="1"/>
        <v>386</v>
      </c>
      <c r="P24" s="111">
        <f t="shared" si="2"/>
        <v>4420</v>
      </c>
      <c r="Q24" s="112"/>
      <c r="T24" s="113"/>
      <c r="U24" s="113"/>
      <c r="V24" s="114"/>
    </row>
    <row r="25" spans="1:22" s="115" customFormat="1" ht="30" customHeight="1">
      <c r="B25" s="75">
        <f t="shared" si="3"/>
        <v>14</v>
      </c>
      <c r="C25" s="75"/>
      <c r="D25" s="75"/>
      <c r="E25" s="405" t="s">
        <v>623</v>
      </c>
      <c r="F25" s="3" t="s">
        <v>198</v>
      </c>
      <c r="G25" s="330">
        <v>4621</v>
      </c>
      <c r="H25" s="79">
        <v>15</v>
      </c>
      <c r="I25" s="77">
        <v>4806</v>
      </c>
      <c r="J25" s="77"/>
      <c r="K25" s="77">
        <f t="shared" si="0"/>
        <v>4806</v>
      </c>
      <c r="L25" s="77">
        <v>0</v>
      </c>
      <c r="M25" s="77"/>
      <c r="N25" s="77">
        <v>386</v>
      </c>
      <c r="O25" s="77">
        <f t="shared" si="1"/>
        <v>386</v>
      </c>
      <c r="P25" s="111">
        <f t="shared" si="2"/>
        <v>4420</v>
      </c>
      <c r="Q25" s="112"/>
      <c r="R25" s="115" t="s">
        <v>624</v>
      </c>
      <c r="S25" s="115" t="s">
        <v>652</v>
      </c>
      <c r="T25" s="113"/>
      <c r="U25" s="113"/>
      <c r="V25" s="114"/>
    </row>
    <row r="26" spans="1:22" s="115" customFormat="1" ht="30" customHeight="1">
      <c r="B26" s="75">
        <f t="shared" si="3"/>
        <v>15</v>
      </c>
      <c r="C26" s="75"/>
      <c r="D26" s="75"/>
      <c r="E26" s="75" t="s">
        <v>275</v>
      </c>
      <c r="F26" s="3" t="s">
        <v>198</v>
      </c>
      <c r="G26" s="330">
        <f>9242/2</f>
        <v>4621</v>
      </c>
      <c r="H26" s="79">
        <v>15</v>
      </c>
      <c r="I26" s="77">
        <v>4806</v>
      </c>
      <c r="J26" s="77"/>
      <c r="K26" s="77">
        <f t="shared" si="0"/>
        <v>4806</v>
      </c>
      <c r="L26" s="77">
        <v>0</v>
      </c>
      <c r="M26" s="77"/>
      <c r="N26" s="77">
        <v>386</v>
      </c>
      <c r="O26" s="77">
        <f t="shared" si="1"/>
        <v>386</v>
      </c>
      <c r="P26" s="111">
        <f t="shared" si="2"/>
        <v>4420</v>
      </c>
      <c r="Q26" s="112"/>
      <c r="T26" s="113"/>
      <c r="U26" s="113"/>
      <c r="V26" s="114"/>
    </row>
    <row r="27" spans="1:22" s="115" customFormat="1" ht="30" customHeight="1">
      <c r="B27" s="75">
        <f t="shared" si="3"/>
        <v>16</v>
      </c>
      <c r="C27" s="75"/>
      <c r="D27" s="75"/>
      <c r="E27" s="75" t="s">
        <v>601</v>
      </c>
      <c r="F27" s="3" t="s">
        <v>198</v>
      </c>
      <c r="G27" s="330">
        <f>9242/2</f>
        <v>4621</v>
      </c>
      <c r="H27" s="79">
        <v>15</v>
      </c>
      <c r="I27" s="77">
        <v>4806</v>
      </c>
      <c r="J27" s="77"/>
      <c r="K27" s="77">
        <f t="shared" si="0"/>
        <v>4806</v>
      </c>
      <c r="L27" s="77">
        <v>0</v>
      </c>
      <c r="M27" s="585">
        <v>1400</v>
      </c>
      <c r="N27" s="77">
        <v>386</v>
      </c>
      <c r="O27" s="77">
        <f t="shared" si="1"/>
        <v>1786</v>
      </c>
      <c r="P27" s="111">
        <f t="shared" si="2"/>
        <v>3020</v>
      </c>
      <c r="Q27" s="112"/>
      <c r="S27" s="413" t="s">
        <v>653</v>
      </c>
      <c r="T27" s="113"/>
      <c r="U27" s="113"/>
      <c r="V27" s="114"/>
    </row>
    <row r="28" spans="1:22" s="115" customFormat="1" ht="30" customHeight="1">
      <c r="B28" s="75">
        <f t="shared" si="3"/>
        <v>17</v>
      </c>
      <c r="C28" s="75"/>
      <c r="D28" s="75"/>
      <c r="E28" s="75" t="s">
        <v>641</v>
      </c>
      <c r="F28" s="3" t="s">
        <v>198</v>
      </c>
      <c r="G28" s="330"/>
      <c r="H28" s="79">
        <v>15</v>
      </c>
      <c r="I28" s="77">
        <v>4806</v>
      </c>
      <c r="J28" s="77"/>
      <c r="K28" s="77">
        <f t="shared" si="0"/>
        <v>4806</v>
      </c>
      <c r="L28" s="77">
        <v>0</v>
      </c>
      <c r="M28" s="77"/>
      <c r="N28" s="77">
        <v>386</v>
      </c>
      <c r="O28" s="77">
        <f t="shared" si="1"/>
        <v>386</v>
      </c>
      <c r="P28" s="111">
        <f t="shared" si="2"/>
        <v>4420</v>
      </c>
      <c r="Q28" s="112"/>
      <c r="R28" s="115" t="s">
        <v>642</v>
      </c>
      <c r="S28" s="115" t="s">
        <v>654</v>
      </c>
      <c r="T28" s="113"/>
      <c r="U28" s="113"/>
      <c r="V28" s="114"/>
    </row>
    <row r="29" spans="1:22" s="115" customFormat="1" ht="30" customHeight="1">
      <c r="B29" s="75">
        <f t="shared" si="3"/>
        <v>18</v>
      </c>
      <c r="C29" s="75"/>
      <c r="D29" s="75"/>
      <c r="E29" s="75" t="s">
        <v>662</v>
      </c>
      <c r="F29" s="3" t="s">
        <v>198</v>
      </c>
      <c r="G29" s="330"/>
      <c r="H29" s="79">
        <v>15</v>
      </c>
      <c r="I29" s="77">
        <v>4806</v>
      </c>
      <c r="J29" s="77"/>
      <c r="K29" s="77">
        <f t="shared" si="0"/>
        <v>4806</v>
      </c>
      <c r="L29" s="77">
        <v>0</v>
      </c>
      <c r="M29" s="77"/>
      <c r="N29" s="77">
        <v>386</v>
      </c>
      <c r="O29" s="77">
        <f t="shared" si="1"/>
        <v>386</v>
      </c>
      <c r="P29" s="111">
        <f t="shared" si="2"/>
        <v>4420</v>
      </c>
      <c r="Q29" s="112"/>
      <c r="R29" s="115" t="s">
        <v>663</v>
      </c>
      <c r="T29" s="113"/>
      <c r="U29" s="113"/>
      <c r="V29" s="114"/>
    </row>
    <row r="30" spans="1:22" s="115" customFormat="1" ht="30" customHeight="1">
      <c r="B30" s="75">
        <f t="shared" si="3"/>
        <v>19</v>
      </c>
      <c r="C30" s="75"/>
      <c r="D30" s="75"/>
      <c r="E30" s="75" t="s">
        <v>689</v>
      </c>
      <c r="F30" s="3" t="s">
        <v>198</v>
      </c>
      <c r="G30" s="330"/>
      <c r="H30" s="79">
        <v>15</v>
      </c>
      <c r="I30" s="77">
        <v>4806</v>
      </c>
      <c r="J30" s="77"/>
      <c r="K30" s="77">
        <f t="shared" si="0"/>
        <v>4806</v>
      </c>
      <c r="L30" s="77">
        <v>0</v>
      </c>
      <c r="M30" s="77"/>
      <c r="N30" s="77">
        <v>386</v>
      </c>
      <c r="O30" s="77">
        <f t="shared" si="1"/>
        <v>386</v>
      </c>
      <c r="P30" s="111">
        <f t="shared" si="2"/>
        <v>4420</v>
      </c>
      <c r="Q30" s="112"/>
      <c r="R30" s="115" t="s">
        <v>709</v>
      </c>
      <c r="T30" s="113"/>
      <c r="U30" s="113"/>
      <c r="V30" s="114"/>
    </row>
    <row r="31" spans="1:22" s="115" customFormat="1" ht="30" customHeight="1">
      <c r="A31" s="421" t="s">
        <v>707</v>
      </c>
      <c r="B31" s="75">
        <f t="shared" si="3"/>
        <v>20</v>
      </c>
      <c r="C31" s="75"/>
      <c r="D31" s="75"/>
      <c r="E31" s="75" t="s">
        <v>723</v>
      </c>
      <c r="F31" s="3" t="s">
        <v>198</v>
      </c>
      <c r="G31" s="330"/>
      <c r="H31" s="79">
        <v>15</v>
      </c>
      <c r="I31" s="77">
        <v>4806</v>
      </c>
      <c r="J31" s="77"/>
      <c r="K31" s="77">
        <f t="shared" si="0"/>
        <v>4806</v>
      </c>
      <c r="L31" s="77">
        <v>0</v>
      </c>
      <c r="M31" s="77"/>
      <c r="N31" s="77">
        <v>386</v>
      </c>
      <c r="O31" s="77">
        <f t="shared" si="1"/>
        <v>386</v>
      </c>
      <c r="P31" s="111">
        <f t="shared" si="2"/>
        <v>4420</v>
      </c>
      <c r="Q31" s="112"/>
      <c r="R31" s="115" t="s">
        <v>700</v>
      </c>
      <c r="T31" s="113"/>
      <c r="U31" s="113"/>
      <c r="V31" s="114"/>
    </row>
    <row r="32" spans="1:22" s="115" customFormat="1" ht="30" customHeight="1">
      <c r="A32" s="421" t="s">
        <v>707</v>
      </c>
      <c r="B32" s="75">
        <f t="shared" si="3"/>
        <v>21</v>
      </c>
      <c r="C32" s="216"/>
      <c r="D32" s="216"/>
      <c r="E32" s="216" t="s">
        <v>703</v>
      </c>
      <c r="F32" s="120" t="s">
        <v>198</v>
      </c>
      <c r="G32" s="332"/>
      <c r="H32" s="121">
        <v>15</v>
      </c>
      <c r="I32" s="119">
        <v>4806</v>
      </c>
      <c r="J32" s="119"/>
      <c r="K32" s="77">
        <f t="shared" si="0"/>
        <v>4806</v>
      </c>
      <c r="L32" s="77">
        <v>0</v>
      </c>
      <c r="M32" s="77"/>
      <c r="N32" s="77">
        <v>386</v>
      </c>
      <c r="O32" s="77">
        <f t="shared" si="1"/>
        <v>386</v>
      </c>
      <c r="P32" s="111">
        <f t="shared" si="2"/>
        <v>4420</v>
      </c>
      <c r="Q32" s="112"/>
      <c r="R32" s="115" t="s">
        <v>704</v>
      </c>
      <c r="T32" s="113"/>
      <c r="U32" s="113"/>
      <c r="V32" s="114"/>
    </row>
    <row r="33" spans="1:22" s="115" customFormat="1" ht="30" customHeight="1">
      <c r="A33" s="421" t="s">
        <v>707</v>
      </c>
      <c r="B33" s="75">
        <f t="shared" si="3"/>
        <v>22</v>
      </c>
      <c r="C33" s="216"/>
      <c r="D33" s="216"/>
      <c r="E33" s="216" t="s">
        <v>705</v>
      </c>
      <c r="F33" s="120" t="s">
        <v>198</v>
      </c>
      <c r="G33" s="332"/>
      <c r="H33" s="121">
        <v>15</v>
      </c>
      <c r="I33" s="119">
        <v>4806</v>
      </c>
      <c r="J33" s="119"/>
      <c r="K33" s="77">
        <f t="shared" si="0"/>
        <v>4806</v>
      </c>
      <c r="L33" s="77">
        <v>0</v>
      </c>
      <c r="M33" s="77"/>
      <c r="N33" s="77">
        <v>386</v>
      </c>
      <c r="O33" s="77">
        <f t="shared" si="1"/>
        <v>386</v>
      </c>
      <c r="P33" s="111">
        <f t="shared" si="2"/>
        <v>4420</v>
      </c>
      <c r="Q33" s="112"/>
      <c r="R33" s="115" t="s">
        <v>704</v>
      </c>
      <c r="T33" s="113"/>
      <c r="U33" s="113"/>
      <c r="V33" s="114"/>
    </row>
    <row r="34" spans="1:22" s="115" customFormat="1" ht="30" customHeight="1">
      <c r="A34" s="421" t="s">
        <v>707</v>
      </c>
      <c r="B34" s="75">
        <f t="shared" si="3"/>
        <v>23</v>
      </c>
      <c r="C34" s="216"/>
      <c r="D34" s="216"/>
      <c r="E34" s="216" t="s">
        <v>706</v>
      </c>
      <c r="F34" s="120" t="s">
        <v>198</v>
      </c>
      <c r="G34" s="332"/>
      <c r="H34" s="121">
        <v>15</v>
      </c>
      <c r="I34" s="119">
        <v>4806</v>
      </c>
      <c r="J34" s="119"/>
      <c r="K34" s="77">
        <f t="shared" si="0"/>
        <v>4806</v>
      </c>
      <c r="L34" s="77">
        <v>0</v>
      </c>
      <c r="M34" s="77"/>
      <c r="N34" s="77">
        <v>386</v>
      </c>
      <c r="O34" s="77">
        <f t="shared" si="1"/>
        <v>386</v>
      </c>
      <c r="P34" s="111">
        <f t="shared" si="2"/>
        <v>4420</v>
      </c>
      <c r="Q34" s="112"/>
      <c r="R34" s="115" t="s">
        <v>704</v>
      </c>
      <c r="T34" s="113"/>
      <c r="U34" s="113"/>
      <c r="V34" s="114"/>
    </row>
    <row r="35" spans="1:22" s="115" customFormat="1" ht="30" customHeight="1">
      <c r="A35" s="578"/>
      <c r="B35" s="75">
        <f t="shared" si="3"/>
        <v>24</v>
      </c>
      <c r="C35" s="216"/>
      <c r="D35" s="216"/>
      <c r="E35" s="216" t="s">
        <v>735</v>
      </c>
      <c r="F35" s="120" t="s">
        <v>198</v>
      </c>
      <c r="G35" s="332"/>
      <c r="H35" s="121">
        <v>15</v>
      </c>
      <c r="I35" s="119">
        <v>4806</v>
      </c>
      <c r="J35" s="119"/>
      <c r="K35" s="77">
        <f t="shared" si="0"/>
        <v>4806</v>
      </c>
      <c r="L35" s="77"/>
      <c r="M35" s="77"/>
      <c r="N35" s="77">
        <v>386</v>
      </c>
      <c r="O35" s="77">
        <f t="shared" si="1"/>
        <v>386</v>
      </c>
      <c r="P35" s="111">
        <f t="shared" si="2"/>
        <v>4420</v>
      </c>
      <c r="Q35" s="112"/>
      <c r="R35" s="115" t="s">
        <v>736</v>
      </c>
      <c r="T35" s="113"/>
      <c r="U35" s="113"/>
      <c r="V35" s="114"/>
    </row>
    <row r="36" spans="1:22" s="115" customFormat="1" ht="30" customHeight="1">
      <c r="A36" s="578"/>
      <c r="B36" s="75">
        <f t="shared" si="3"/>
        <v>25</v>
      </c>
      <c r="C36" s="216"/>
      <c r="D36" s="216"/>
      <c r="E36" s="216" t="s">
        <v>737</v>
      </c>
      <c r="F36" s="120" t="s">
        <v>198</v>
      </c>
      <c r="G36" s="332"/>
      <c r="H36" s="121">
        <v>15</v>
      </c>
      <c r="I36" s="119">
        <v>4806</v>
      </c>
      <c r="J36" s="119"/>
      <c r="K36" s="77">
        <f t="shared" si="0"/>
        <v>4806</v>
      </c>
      <c r="L36" s="77"/>
      <c r="M36" s="77"/>
      <c r="N36" s="77">
        <v>386</v>
      </c>
      <c r="O36" s="77">
        <f t="shared" si="1"/>
        <v>386</v>
      </c>
      <c r="P36" s="111">
        <f t="shared" si="2"/>
        <v>4420</v>
      </c>
      <c r="Q36" s="112"/>
      <c r="R36" s="115" t="s">
        <v>738</v>
      </c>
      <c r="T36" s="113"/>
      <c r="U36" s="113"/>
      <c r="V36" s="114"/>
    </row>
    <row r="37" spans="1:22" s="115" customFormat="1" ht="30" customHeight="1">
      <c r="A37" s="578"/>
      <c r="B37" s="75">
        <f t="shared" si="3"/>
        <v>26</v>
      </c>
      <c r="C37" s="216"/>
      <c r="D37" s="216"/>
      <c r="E37" s="216" t="s">
        <v>740</v>
      </c>
      <c r="F37" s="120" t="s">
        <v>198</v>
      </c>
      <c r="G37" s="332"/>
      <c r="H37" s="121">
        <v>15</v>
      </c>
      <c r="I37" s="119">
        <v>4806</v>
      </c>
      <c r="J37" s="119"/>
      <c r="K37" s="77">
        <f t="shared" si="0"/>
        <v>4806</v>
      </c>
      <c r="L37" s="77"/>
      <c r="M37" s="77"/>
      <c r="N37" s="77">
        <v>386</v>
      </c>
      <c r="O37" s="77">
        <f t="shared" si="1"/>
        <v>386</v>
      </c>
      <c r="P37" s="111">
        <f t="shared" si="2"/>
        <v>4420</v>
      </c>
      <c r="Q37" s="112"/>
      <c r="R37" s="115" t="s">
        <v>741</v>
      </c>
      <c r="T37" s="113"/>
      <c r="U37" s="113"/>
      <c r="V37" s="114"/>
    </row>
    <row r="38" spans="1:22" s="115" customFormat="1" ht="30" customHeight="1">
      <c r="B38" s="75">
        <f>B37+1</f>
        <v>27</v>
      </c>
      <c r="C38" s="75"/>
      <c r="D38" s="75"/>
      <c r="E38" s="75" t="s">
        <v>213</v>
      </c>
      <c r="F38" s="3" t="s">
        <v>214</v>
      </c>
      <c r="G38" s="333">
        <f>4592/2</f>
        <v>2296</v>
      </c>
      <c r="H38" s="79">
        <v>15</v>
      </c>
      <c r="I38" s="77">
        <v>2388</v>
      </c>
      <c r="J38" s="77"/>
      <c r="K38" s="77">
        <f t="shared" si="0"/>
        <v>2388</v>
      </c>
      <c r="L38" s="77">
        <v>24.04</v>
      </c>
      <c r="M38" s="77"/>
      <c r="N38" s="77"/>
      <c r="O38" s="77">
        <f t="shared" si="1"/>
        <v>0</v>
      </c>
      <c r="P38" s="111">
        <f t="shared" ref="P38" si="5">K38+L38-O38</f>
        <v>2412.04</v>
      </c>
      <c r="Q38" s="309"/>
      <c r="T38" s="113"/>
      <c r="U38" s="113"/>
      <c r="V38" s="114"/>
    </row>
    <row r="39" spans="1:22" s="115" customFormat="1" ht="30" customHeight="1" thickBot="1">
      <c r="B39" s="15"/>
      <c r="C39" s="567" t="s">
        <v>45</v>
      </c>
      <c r="D39" s="567"/>
      <c r="E39" s="567"/>
      <c r="F39" s="567"/>
      <c r="G39" s="567"/>
      <c r="H39" s="567"/>
      <c r="I39" s="568">
        <f t="shared" ref="I39:P39" si="6">SUM(I12:I38)</f>
        <v>138664</v>
      </c>
      <c r="J39" s="568">
        <f t="shared" si="6"/>
        <v>0</v>
      </c>
      <c r="K39" s="568">
        <f t="shared" si="6"/>
        <v>138664</v>
      </c>
      <c r="L39" s="568">
        <f t="shared" si="6"/>
        <v>24.04</v>
      </c>
      <c r="M39" s="568">
        <f t="shared" si="6"/>
        <v>2300</v>
      </c>
      <c r="N39" s="568">
        <f t="shared" si="6"/>
        <v>12140</v>
      </c>
      <c r="O39" s="568">
        <f t="shared" si="6"/>
        <v>14440</v>
      </c>
      <c r="P39" s="516">
        <f t="shared" si="6"/>
        <v>124248.04</v>
      </c>
      <c r="R39" s="114"/>
      <c r="S39" s="114"/>
    </row>
    <row r="40" spans="1:22" ht="12" thickTop="1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3"/>
      <c r="Q40" s="115"/>
      <c r="R40" s="115"/>
      <c r="S40" s="115"/>
      <c r="T40" s="115"/>
      <c r="U40" s="115"/>
      <c r="V40" s="115"/>
    </row>
    <row r="41" spans="1:22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3"/>
      <c r="Q41" s="115"/>
      <c r="R41" s="215"/>
      <c r="S41" s="115"/>
      <c r="T41" s="115"/>
      <c r="U41" s="115"/>
      <c r="V41" s="115"/>
    </row>
    <row r="42" spans="1:22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3"/>
      <c r="Q42" s="115"/>
      <c r="R42" s="115"/>
      <c r="S42" s="115"/>
      <c r="T42" s="115"/>
      <c r="U42" s="115"/>
      <c r="V42" s="115"/>
    </row>
    <row r="43" spans="1:22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3"/>
      <c r="Q43" s="115"/>
      <c r="R43" s="115"/>
      <c r="S43" s="115"/>
      <c r="T43" s="115"/>
      <c r="U43" s="115"/>
      <c r="V43" s="115"/>
    </row>
    <row r="44" spans="1:22">
      <c r="B44" s="122"/>
      <c r="C44" s="122"/>
      <c r="D44" s="122"/>
      <c r="E44" s="122"/>
      <c r="F44" s="122"/>
      <c r="G44" s="122" t="s">
        <v>28</v>
      </c>
      <c r="H44" s="122"/>
      <c r="I44" s="122"/>
      <c r="J44" s="122"/>
      <c r="K44" s="122"/>
      <c r="L44" s="122"/>
      <c r="M44" s="122"/>
      <c r="N44" s="124"/>
      <c r="O44" s="122"/>
      <c r="P44" s="125"/>
    </row>
    <row r="45" spans="1:22">
      <c r="G45" s="55"/>
      <c r="H45" s="55"/>
      <c r="I45" s="55"/>
      <c r="J45" s="55"/>
      <c r="K45" s="55"/>
      <c r="L45" s="55"/>
      <c r="M45" s="55"/>
    </row>
    <row r="46" spans="1:22" ht="13.5" customHeight="1">
      <c r="B46" s="614" t="s">
        <v>708</v>
      </c>
      <c r="C46" s="614"/>
      <c r="D46" s="614"/>
      <c r="E46" s="614"/>
      <c r="F46" s="6"/>
      <c r="G46" s="616" t="s">
        <v>765</v>
      </c>
      <c r="H46" s="616"/>
      <c r="I46" s="616"/>
      <c r="J46" s="616"/>
      <c r="K46" s="616"/>
      <c r="L46" s="616"/>
      <c r="M46" s="616"/>
      <c r="N46" s="6"/>
      <c r="O46" s="660" t="s">
        <v>572</v>
      </c>
      <c r="P46" s="660"/>
      <c r="Q46" s="660"/>
    </row>
    <row r="47" spans="1:22" ht="12.75">
      <c r="B47" s="615" t="s">
        <v>145</v>
      </c>
      <c r="C47" s="615"/>
      <c r="D47" s="615"/>
      <c r="E47" s="615"/>
      <c r="F47" s="6"/>
      <c r="G47" s="6"/>
      <c r="H47" s="615" t="s">
        <v>766</v>
      </c>
      <c r="I47" s="615"/>
      <c r="J47" s="615"/>
      <c r="K47" s="615"/>
      <c r="L47" s="615"/>
      <c r="M47" s="615"/>
      <c r="N47" s="6"/>
      <c r="O47" s="615" t="s">
        <v>30</v>
      </c>
      <c r="P47" s="615"/>
      <c r="Q47" s="615"/>
    </row>
    <row r="48" spans="1:22">
      <c r="K48" s="126"/>
    </row>
    <row r="49" spans="16:16">
      <c r="P49" s="126"/>
    </row>
    <row r="50" spans="16:16">
      <c r="P50" s="126"/>
    </row>
    <row r="51" spans="16:16">
      <c r="P51" s="182"/>
    </row>
    <row r="55" spans="16:16">
      <c r="P55" s="260">
        <f>K39+L39-O39</f>
        <v>124248.04000000001</v>
      </c>
    </row>
    <row r="56" spans="16:16">
      <c r="P56" s="260">
        <f>P39-P55</f>
        <v>0</v>
      </c>
    </row>
  </sheetData>
  <mergeCells count="12">
    <mergeCell ref="B46:E46"/>
    <mergeCell ref="O46:Q46"/>
    <mergeCell ref="B47:E47"/>
    <mergeCell ref="O47:Q47"/>
    <mergeCell ref="G46:M46"/>
    <mergeCell ref="H47:M47"/>
    <mergeCell ref="I8:K8"/>
    <mergeCell ref="N8:O8"/>
    <mergeCell ref="C9:E9"/>
    <mergeCell ref="B3:Q3"/>
    <mergeCell ref="B4:Q4"/>
    <mergeCell ref="Q8:Q10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36"/>
  <sheetViews>
    <sheetView topLeftCell="A19" workbookViewId="0">
      <selection activeCell="B4" sqref="B4:Q4"/>
    </sheetView>
  </sheetViews>
  <sheetFormatPr baseColWidth="10" defaultRowHeight="11.25"/>
  <cols>
    <col min="1" max="1" width="11.42578125" style="115"/>
    <col min="2" max="2" width="5.85546875" style="115" customWidth="1"/>
    <col min="3" max="3" width="9.28515625" style="115" customWidth="1"/>
    <col min="4" max="4" width="9" style="115" customWidth="1"/>
    <col min="5" max="5" width="15.42578125" style="115" customWidth="1"/>
    <col min="6" max="6" width="12.28515625" style="115" customWidth="1"/>
    <col min="7" max="7" width="0.7109375" style="115" hidden="1" customWidth="1"/>
    <col min="8" max="8" width="11.140625" style="338" hidden="1" customWidth="1"/>
    <col min="9" max="9" width="4.85546875" style="115" customWidth="1"/>
    <col min="10" max="10" width="12.42578125" style="137" customWidth="1"/>
    <col min="11" max="11" width="5.42578125" style="115" hidden="1" customWidth="1"/>
    <col min="12" max="12" width="12.140625" style="137" customWidth="1"/>
    <col min="13" max="13" width="10.85546875" style="115" customWidth="1"/>
    <col min="14" max="14" width="12" style="115" customWidth="1"/>
    <col min="15" max="15" width="11" style="115" customWidth="1"/>
    <col min="16" max="16" width="11.7109375" style="115" customWidth="1"/>
    <col min="17" max="17" width="25.140625" style="115" customWidth="1"/>
    <col min="18" max="18" width="14.5703125" style="115" customWidth="1"/>
    <col min="19" max="16384" width="11.42578125" style="115"/>
  </cols>
  <sheetData>
    <row r="2" spans="2:17" s="47" customFormat="1" ht="16.5">
      <c r="B2" s="661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52"/>
    </row>
    <row r="3" spans="2:17" s="47" customFormat="1" ht="19.5">
      <c r="B3" s="651" t="s">
        <v>206</v>
      </c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3"/>
    </row>
    <row r="4" spans="2:17" s="47" customFormat="1" ht="17.25">
      <c r="B4" s="669" t="s">
        <v>786</v>
      </c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6"/>
    </row>
    <row r="5" spans="2:17" s="47" customFormat="1" ht="12.75">
      <c r="B5" s="104"/>
      <c r="C5" s="103"/>
      <c r="D5" s="103"/>
      <c r="E5" s="103"/>
      <c r="F5" s="103"/>
      <c r="G5" s="103"/>
      <c r="H5" s="334"/>
      <c r="I5" s="103"/>
      <c r="J5" s="103"/>
      <c r="K5" s="103"/>
      <c r="L5" s="103"/>
      <c r="M5" s="103"/>
      <c r="N5" s="103"/>
      <c r="O5" s="103"/>
      <c r="P5" s="103"/>
      <c r="Q5" s="105"/>
    </row>
    <row r="6" spans="2:17" s="47" customFormat="1" ht="12.75">
      <c r="B6" s="106"/>
      <c r="C6" s="54" t="s">
        <v>0</v>
      </c>
      <c r="D6" s="55"/>
      <c r="E6" s="55"/>
      <c r="F6" s="55"/>
      <c r="G6" s="55"/>
      <c r="H6" s="335"/>
      <c r="I6" s="55"/>
      <c r="J6" s="55"/>
      <c r="K6" s="55"/>
      <c r="L6" s="55"/>
      <c r="M6" s="55"/>
      <c r="N6" s="55"/>
      <c r="O6" s="55"/>
      <c r="P6" s="55"/>
      <c r="Q6" s="107"/>
    </row>
    <row r="7" spans="2:17" s="47" customFormat="1" ht="15.75">
      <c r="B7" s="128" t="s">
        <v>149</v>
      </c>
      <c r="C7" s="128"/>
      <c r="D7" s="129"/>
      <c r="E7" s="129" t="s">
        <v>150</v>
      </c>
      <c r="F7" s="130"/>
      <c r="G7" s="130"/>
      <c r="H7" s="336"/>
      <c r="I7" s="130"/>
      <c r="J7" s="130"/>
      <c r="K7" s="130"/>
      <c r="L7" s="130"/>
      <c r="M7" s="130"/>
      <c r="N7" s="130"/>
      <c r="O7" s="130"/>
      <c r="P7" s="130"/>
    </row>
    <row r="8" spans="2:17" ht="14.25">
      <c r="B8" s="131" t="s">
        <v>151</v>
      </c>
      <c r="C8" s="132"/>
      <c r="D8" s="132"/>
      <c r="E8" s="132"/>
      <c r="F8" s="132"/>
      <c r="G8" s="133" t="s">
        <v>28</v>
      </c>
      <c r="H8" s="337"/>
      <c r="I8" s="132"/>
      <c r="J8" s="663" t="s">
        <v>55</v>
      </c>
      <c r="K8" s="664"/>
      <c r="L8" s="665"/>
      <c r="M8" s="134"/>
      <c r="N8" s="663" t="s">
        <v>56</v>
      </c>
      <c r="O8" s="666"/>
      <c r="P8" s="134"/>
      <c r="Q8" s="135"/>
    </row>
    <row r="9" spans="2:17" ht="18" customHeight="1">
      <c r="B9" s="465" t="s">
        <v>152</v>
      </c>
      <c r="C9" s="650" t="s">
        <v>47</v>
      </c>
      <c r="D9" s="650"/>
      <c r="E9" s="650"/>
      <c r="F9" s="466"/>
      <c r="G9" s="467"/>
      <c r="H9" s="484"/>
      <c r="I9" s="468" t="s">
        <v>58</v>
      </c>
      <c r="J9" s="469" t="s">
        <v>3</v>
      </c>
      <c r="K9" s="470" t="s">
        <v>60</v>
      </c>
      <c r="L9" s="471" t="s">
        <v>153</v>
      </c>
      <c r="M9" s="470"/>
      <c r="N9" s="672" t="s">
        <v>566</v>
      </c>
      <c r="O9" s="673"/>
      <c r="P9" s="475" t="s">
        <v>154</v>
      </c>
      <c r="Q9" s="670" t="s">
        <v>29</v>
      </c>
    </row>
    <row r="10" spans="2:17" ht="18" customHeight="1">
      <c r="B10" s="476" t="s">
        <v>155</v>
      </c>
      <c r="C10" s="477" t="s">
        <v>48</v>
      </c>
      <c r="D10" s="478" t="s">
        <v>49</v>
      </c>
      <c r="E10" s="478" t="s">
        <v>50</v>
      </c>
      <c r="F10" s="478" t="s">
        <v>51</v>
      </c>
      <c r="G10" s="479" t="s">
        <v>52</v>
      </c>
      <c r="H10" s="485"/>
      <c r="I10" s="478" t="s">
        <v>156</v>
      </c>
      <c r="J10" s="480" t="s">
        <v>157</v>
      </c>
      <c r="K10" s="481" t="s">
        <v>158</v>
      </c>
      <c r="L10" s="482" t="s">
        <v>159</v>
      </c>
      <c r="M10" s="481" t="s">
        <v>561</v>
      </c>
      <c r="N10" s="478" t="s">
        <v>70</v>
      </c>
      <c r="O10" s="478" t="s">
        <v>161</v>
      </c>
      <c r="P10" s="483" t="s">
        <v>162</v>
      </c>
      <c r="Q10" s="671"/>
    </row>
    <row r="11" spans="2:17" ht="18" customHeight="1">
      <c r="B11" s="136" t="s">
        <v>163</v>
      </c>
      <c r="C11" s="136"/>
      <c r="D11" s="136"/>
      <c r="E11" s="136"/>
      <c r="Q11" s="138"/>
    </row>
    <row r="12" spans="2:17" ht="30" customHeight="1">
      <c r="B12" s="3">
        <v>1</v>
      </c>
      <c r="C12" s="3" t="s">
        <v>164</v>
      </c>
      <c r="D12" s="3" t="s">
        <v>108</v>
      </c>
      <c r="E12" s="116" t="s">
        <v>165</v>
      </c>
      <c r="F12" s="3" t="s">
        <v>549</v>
      </c>
      <c r="G12" s="3" t="s">
        <v>167</v>
      </c>
      <c r="H12" s="339">
        <f>13508/2</f>
        <v>6754</v>
      </c>
      <c r="I12" s="3">
        <v>15</v>
      </c>
      <c r="J12" s="77">
        <v>7024</v>
      </c>
      <c r="K12" s="139"/>
      <c r="L12" s="68">
        <f>J12</f>
        <v>7024</v>
      </c>
      <c r="M12" s="140"/>
      <c r="N12" s="77">
        <v>780</v>
      </c>
      <c r="O12" s="68">
        <f>N12+M12</f>
        <v>780</v>
      </c>
      <c r="P12" s="141">
        <f>L12-O12</f>
        <v>6244</v>
      </c>
      <c r="Q12" s="142"/>
    </row>
    <row r="13" spans="2:17" ht="30" customHeight="1">
      <c r="B13" s="3">
        <f>B12+1</f>
        <v>2</v>
      </c>
      <c r="C13" s="3" t="s">
        <v>100</v>
      </c>
      <c r="D13" s="3" t="s">
        <v>168</v>
      </c>
      <c r="E13" s="116" t="s">
        <v>169</v>
      </c>
      <c r="F13" s="3" t="s">
        <v>166</v>
      </c>
      <c r="G13" s="3" t="s">
        <v>170</v>
      </c>
      <c r="H13" s="339">
        <v>4621</v>
      </c>
      <c r="I13" s="3">
        <v>15</v>
      </c>
      <c r="J13" s="77">
        <v>4806</v>
      </c>
      <c r="K13" s="139"/>
      <c r="L13" s="68">
        <f t="shared" ref="L13:L27" si="0">J13</f>
        <v>4806</v>
      </c>
      <c r="M13" s="579">
        <v>1000</v>
      </c>
      <c r="N13" s="77">
        <v>386</v>
      </c>
      <c r="O13" s="68">
        <f t="shared" ref="O13:O27" si="1">N13+M13</f>
        <v>1386</v>
      </c>
      <c r="P13" s="141">
        <f t="shared" ref="P13:P27" si="2">L13-O13</f>
        <v>3420</v>
      </c>
      <c r="Q13" s="142"/>
    </row>
    <row r="14" spans="2:17" ht="30" customHeight="1">
      <c r="B14" s="3">
        <f t="shared" ref="B14:B15" si="3">B13+1</f>
        <v>3</v>
      </c>
      <c r="C14" s="3" t="s">
        <v>87</v>
      </c>
      <c r="D14" s="3" t="s">
        <v>172</v>
      </c>
      <c r="E14" s="116" t="s">
        <v>173</v>
      </c>
      <c r="F14" s="3" t="s">
        <v>166</v>
      </c>
      <c r="G14" s="120" t="s">
        <v>174</v>
      </c>
      <c r="H14" s="339">
        <f t="shared" ref="H14:H20" si="4">9242/2</f>
        <v>4621</v>
      </c>
      <c r="I14" s="3">
        <v>15</v>
      </c>
      <c r="J14" s="77">
        <v>4806</v>
      </c>
      <c r="K14" s="143"/>
      <c r="L14" s="68">
        <f t="shared" si="0"/>
        <v>4806</v>
      </c>
      <c r="M14" s="140"/>
      <c r="N14" s="77">
        <v>386</v>
      </c>
      <c r="O14" s="68">
        <f t="shared" si="1"/>
        <v>386</v>
      </c>
      <c r="P14" s="141">
        <f t="shared" si="2"/>
        <v>4420</v>
      </c>
      <c r="Q14" s="142"/>
    </row>
    <row r="15" spans="2:17" ht="30" customHeight="1">
      <c r="B15" s="3">
        <f t="shared" si="3"/>
        <v>4</v>
      </c>
      <c r="C15" s="3" t="s">
        <v>171</v>
      </c>
      <c r="D15" s="3" t="s">
        <v>175</v>
      </c>
      <c r="E15" s="116" t="s">
        <v>176</v>
      </c>
      <c r="F15" s="3" t="s">
        <v>166</v>
      </c>
      <c r="G15" s="3" t="s">
        <v>177</v>
      </c>
      <c r="H15" s="339">
        <f t="shared" si="4"/>
        <v>4621</v>
      </c>
      <c r="I15" s="3">
        <v>15</v>
      </c>
      <c r="J15" s="77">
        <v>4806</v>
      </c>
      <c r="K15" s="143"/>
      <c r="L15" s="68">
        <f t="shared" si="0"/>
        <v>4806</v>
      </c>
      <c r="M15" s="422"/>
      <c r="N15" s="77">
        <v>386</v>
      </c>
      <c r="O15" s="68">
        <f t="shared" si="1"/>
        <v>386</v>
      </c>
      <c r="P15" s="141">
        <f t="shared" si="2"/>
        <v>4420</v>
      </c>
      <c r="Q15" s="142"/>
    </row>
    <row r="16" spans="2:17" ht="30" customHeight="1">
      <c r="B16" s="3">
        <f t="shared" ref="B16:B20" si="5">B15+1</f>
        <v>5</v>
      </c>
      <c r="C16" s="3" t="s">
        <v>178</v>
      </c>
      <c r="D16" s="3" t="s">
        <v>179</v>
      </c>
      <c r="E16" s="116" t="s">
        <v>180</v>
      </c>
      <c r="F16" s="3" t="s">
        <v>166</v>
      </c>
      <c r="G16" s="3" t="s">
        <v>181</v>
      </c>
      <c r="H16" s="339">
        <f t="shared" si="4"/>
        <v>4621</v>
      </c>
      <c r="I16" s="3">
        <v>15</v>
      </c>
      <c r="J16" s="77">
        <v>4806</v>
      </c>
      <c r="K16" s="143"/>
      <c r="L16" s="68">
        <f t="shared" si="0"/>
        <v>4806</v>
      </c>
      <c r="M16" s="422"/>
      <c r="N16" s="77">
        <v>386</v>
      </c>
      <c r="O16" s="68">
        <f t="shared" si="1"/>
        <v>386</v>
      </c>
      <c r="P16" s="141">
        <f t="shared" si="2"/>
        <v>4420</v>
      </c>
      <c r="Q16" s="142"/>
    </row>
    <row r="17" spans="2:18" ht="30" customHeight="1">
      <c r="B17" s="3">
        <f t="shared" si="5"/>
        <v>6</v>
      </c>
      <c r="C17" s="3" t="s">
        <v>100</v>
      </c>
      <c r="D17" s="3" t="s">
        <v>140</v>
      </c>
      <c r="E17" s="116" t="s">
        <v>182</v>
      </c>
      <c r="F17" s="3" t="s">
        <v>166</v>
      </c>
      <c r="G17" s="3" t="s">
        <v>183</v>
      </c>
      <c r="H17" s="339">
        <f t="shared" si="4"/>
        <v>4621</v>
      </c>
      <c r="I17" s="3">
        <v>15</v>
      </c>
      <c r="J17" s="77">
        <v>4806</v>
      </c>
      <c r="K17" s="143"/>
      <c r="L17" s="68">
        <f t="shared" si="0"/>
        <v>4806</v>
      </c>
      <c r="M17" s="422"/>
      <c r="N17" s="77">
        <v>386</v>
      </c>
      <c r="O17" s="68">
        <f t="shared" si="1"/>
        <v>386</v>
      </c>
      <c r="P17" s="141">
        <f t="shared" si="2"/>
        <v>4420</v>
      </c>
      <c r="Q17" s="142"/>
    </row>
    <row r="18" spans="2:18" ht="30" customHeight="1">
      <c r="B18" s="3">
        <f t="shared" si="5"/>
        <v>7</v>
      </c>
      <c r="C18" s="3" t="s">
        <v>184</v>
      </c>
      <c r="D18" s="3" t="s">
        <v>185</v>
      </c>
      <c r="E18" s="116" t="s">
        <v>186</v>
      </c>
      <c r="F18" s="3" t="s">
        <v>166</v>
      </c>
      <c r="G18" s="3" t="s">
        <v>187</v>
      </c>
      <c r="H18" s="339">
        <f t="shared" si="4"/>
        <v>4621</v>
      </c>
      <c r="I18" s="3">
        <v>15</v>
      </c>
      <c r="J18" s="77">
        <v>4806</v>
      </c>
      <c r="K18" s="143"/>
      <c r="L18" s="68">
        <f t="shared" si="0"/>
        <v>4806</v>
      </c>
      <c r="M18" s="422"/>
      <c r="N18" s="77">
        <v>386</v>
      </c>
      <c r="O18" s="68">
        <f t="shared" si="1"/>
        <v>386</v>
      </c>
      <c r="P18" s="141">
        <f t="shared" si="2"/>
        <v>4420</v>
      </c>
      <c r="Q18" s="142"/>
    </row>
    <row r="19" spans="2:18" ht="30" customHeight="1">
      <c r="B19" s="3">
        <f t="shared" si="5"/>
        <v>8</v>
      </c>
      <c r="C19" s="3" t="s">
        <v>108</v>
      </c>
      <c r="D19" s="3" t="s">
        <v>87</v>
      </c>
      <c r="E19" s="116" t="s">
        <v>188</v>
      </c>
      <c r="F19" s="3" t="s">
        <v>166</v>
      </c>
      <c r="G19" s="3"/>
      <c r="H19" s="339">
        <f t="shared" si="4"/>
        <v>4621</v>
      </c>
      <c r="I19" s="3">
        <v>15</v>
      </c>
      <c r="J19" s="77">
        <v>4806</v>
      </c>
      <c r="K19" s="143"/>
      <c r="L19" s="68">
        <f t="shared" si="0"/>
        <v>4806</v>
      </c>
      <c r="M19" s="422"/>
      <c r="N19" s="77">
        <v>386</v>
      </c>
      <c r="O19" s="68">
        <f t="shared" si="1"/>
        <v>386</v>
      </c>
      <c r="P19" s="141">
        <f t="shared" si="2"/>
        <v>4420</v>
      </c>
      <c r="Q19" s="142"/>
    </row>
    <row r="20" spans="2:18" ht="30" customHeight="1">
      <c r="B20" s="3">
        <f t="shared" si="5"/>
        <v>9</v>
      </c>
      <c r="C20" s="116" t="s">
        <v>101</v>
      </c>
      <c r="D20" s="116" t="s">
        <v>189</v>
      </c>
      <c r="E20" s="116" t="s">
        <v>190</v>
      </c>
      <c r="F20" s="116" t="s">
        <v>166</v>
      </c>
      <c r="G20" s="116"/>
      <c r="H20" s="339">
        <f t="shared" si="4"/>
        <v>4621</v>
      </c>
      <c r="I20" s="116">
        <v>15</v>
      </c>
      <c r="J20" s="77">
        <v>4806</v>
      </c>
      <c r="K20" s="286"/>
      <c r="L20" s="68">
        <f t="shared" si="0"/>
        <v>4806</v>
      </c>
      <c r="M20" s="422"/>
      <c r="N20" s="77">
        <v>386</v>
      </c>
      <c r="O20" s="68">
        <f t="shared" si="1"/>
        <v>386</v>
      </c>
      <c r="P20" s="141">
        <f t="shared" si="2"/>
        <v>4420</v>
      </c>
      <c r="Q20" s="142"/>
    </row>
    <row r="21" spans="2:18" ht="30" customHeight="1">
      <c r="B21" s="3">
        <v>10</v>
      </c>
      <c r="C21" s="120" t="s">
        <v>168</v>
      </c>
      <c r="D21" s="120" t="s">
        <v>211</v>
      </c>
      <c r="E21" s="251" t="s">
        <v>212</v>
      </c>
      <c r="F21" s="120" t="s">
        <v>166</v>
      </c>
      <c r="G21" s="120"/>
      <c r="H21" s="340">
        <f>9242/2</f>
        <v>4621</v>
      </c>
      <c r="I21" s="120">
        <v>15</v>
      </c>
      <c r="J21" s="77">
        <v>4806</v>
      </c>
      <c r="K21" s="143"/>
      <c r="L21" s="68">
        <f t="shared" si="0"/>
        <v>4806</v>
      </c>
      <c r="M21" s="140"/>
      <c r="N21" s="77">
        <v>386</v>
      </c>
      <c r="O21" s="68">
        <f t="shared" si="1"/>
        <v>386</v>
      </c>
      <c r="P21" s="141">
        <f t="shared" si="2"/>
        <v>4420</v>
      </c>
      <c r="Q21" s="138"/>
    </row>
    <row r="22" spans="2:18" ht="24.75" customHeight="1">
      <c r="B22" s="3">
        <v>11</v>
      </c>
      <c r="C22" s="144" t="s">
        <v>77</v>
      </c>
      <c r="D22" s="144" t="s">
        <v>82</v>
      </c>
      <c r="E22" s="144" t="s">
        <v>196</v>
      </c>
      <c r="F22" s="144" t="s">
        <v>166</v>
      </c>
      <c r="G22" s="144"/>
      <c r="H22" s="341">
        <f>9242/2</f>
        <v>4621</v>
      </c>
      <c r="I22" s="144">
        <v>15</v>
      </c>
      <c r="J22" s="77">
        <v>4806</v>
      </c>
      <c r="K22" s="253"/>
      <c r="L22" s="68">
        <f t="shared" si="0"/>
        <v>4806</v>
      </c>
      <c r="M22" s="253"/>
      <c r="N22" s="77">
        <v>386</v>
      </c>
      <c r="O22" s="68">
        <f t="shared" si="1"/>
        <v>386</v>
      </c>
      <c r="P22" s="141">
        <f t="shared" si="2"/>
        <v>4420</v>
      </c>
      <c r="Q22" s="144"/>
      <c r="R22" s="115" t="s">
        <v>692</v>
      </c>
    </row>
    <row r="23" spans="2:18" ht="24.75" customHeight="1">
      <c r="B23" s="3">
        <v>12</v>
      </c>
      <c r="C23" s="144" t="s">
        <v>637</v>
      </c>
      <c r="D23" s="144" t="s">
        <v>108</v>
      </c>
      <c r="E23" s="144" t="s">
        <v>638</v>
      </c>
      <c r="F23" s="144" t="s">
        <v>166</v>
      </c>
      <c r="G23" s="144"/>
      <c r="H23" s="341"/>
      <c r="I23" s="144">
        <v>15</v>
      </c>
      <c r="J23" s="77">
        <v>4806</v>
      </c>
      <c r="K23" s="253"/>
      <c r="L23" s="68">
        <f t="shared" si="0"/>
        <v>4806</v>
      </c>
      <c r="M23" s="253"/>
      <c r="N23" s="77">
        <v>386</v>
      </c>
      <c r="O23" s="68">
        <f t="shared" si="1"/>
        <v>386</v>
      </c>
      <c r="P23" s="141">
        <f t="shared" si="2"/>
        <v>4420</v>
      </c>
      <c r="Q23" s="144"/>
      <c r="R23" s="115" t="s">
        <v>691</v>
      </c>
    </row>
    <row r="24" spans="2:18" ht="24.75" customHeight="1">
      <c r="B24" s="3">
        <v>13</v>
      </c>
      <c r="C24" s="144" t="s">
        <v>276</v>
      </c>
      <c r="D24" s="144" t="s">
        <v>724</v>
      </c>
      <c r="E24" s="144" t="s">
        <v>725</v>
      </c>
      <c r="F24" s="144" t="s">
        <v>166</v>
      </c>
      <c r="G24" s="144"/>
      <c r="H24" s="341"/>
      <c r="I24" s="144">
        <v>15</v>
      </c>
      <c r="J24" s="77">
        <v>4806</v>
      </c>
      <c r="K24" s="253"/>
      <c r="L24" s="68">
        <f t="shared" si="0"/>
        <v>4806</v>
      </c>
      <c r="M24" s="253"/>
      <c r="N24" s="77">
        <v>386</v>
      </c>
      <c r="O24" s="68">
        <f t="shared" si="1"/>
        <v>386</v>
      </c>
      <c r="P24" s="141">
        <f t="shared" si="2"/>
        <v>4420</v>
      </c>
      <c r="Q24" s="144"/>
      <c r="R24" s="415" t="s">
        <v>726</v>
      </c>
    </row>
    <row r="25" spans="2:18" ht="24.75" customHeight="1">
      <c r="B25" s="3">
        <v>14</v>
      </c>
      <c r="C25" s="144" t="s">
        <v>733</v>
      </c>
      <c r="D25" s="144" t="s">
        <v>185</v>
      </c>
      <c r="E25" s="144" t="s">
        <v>734</v>
      </c>
      <c r="F25" s="144" t="s">
        <v>166</v>
      </c>
      <c r="G25" s="144"/>
      <c r="H25" s="341"/>
      <c r="I25" s="144">
        <v>15</v>
      </c>
      <c r="J25" s="77">
        <v>4806</v>
      </c>
      <c r="K25" s="253"/>
      <c r="L25" s="68">
        <f t="shared" si="0"/>
        <v>4806</v>
      </c>
      <c r="M25" s="253"/>
      <c r="N25" s="253">
        <v>386</v>
      </c>
      <c r="O25" s="68">
        <f t="shared" si="1"/>
        <v>386</v>
      </c>
      <c r="P25" s="141">
        <f t="shared" si="2"/>
        <v>4420</v>
      </c>
      <c r="Q25" s="144"/>
      <c r="R25" s="415" t="s">
        <v>739</v>
      </c>
    </row>
    <row r="26" spans="2:18" ht="24.75" customHeight="1">
      <c r="B26" s="3">
        <v>15</v>
      </c>
      <c r="C26" s="144" t="s">
        <v>171</v>
      </c>
      <c r="D26" s="144" t="s">
        <v>753</v>
      </c>
      <c r="E26" s="144" t="s">
        <v>754</v>
      </c>
      <c r="F26" s="144" t="s">
        <v>166</v>
      </c>
      <c r="G26" s="144"/>
      <c r="H26" s="587"/>
      <c r="I26" s="144">
        <v>15</v>
      </c>
      <c r="J26" s="77">
        <v>4806</v>
      </c>
      <c r="K26" s="253"/>
      <c r="L26" s="77">
        <f t="shared" si="0"/>
        <v>4806</v>
      </c>
      <c r="M26" s="253"/>
      <c r="N26" s="253">
        <v>386</v>
      </c>
      <c r="O26" s="77">
        <f t="shared" si="1"/>
        <v>386</v>
      </c>
      <c r="P26" s="76">
        <f t="shared" si="2"/>
        <v>4420</v>
      </c>
      <c r="Q26" s="144"/>
      <c r="R26" s="415" t="s">
        <v>755</v>
      </c>
    </row>
    <row r="27" spans="2:18" ht="24.75" customHeight="1">
      <c r="B27" s="3">
        <v>16</v>
      </c>
      <c r="C27" s="144" t="s">
        <v>699</v>
      </c>
      <c r="D27" s="144" t="s">
        <v>756</v>
      </c>
      <c r="E27" s="144" t="s">
        <v>757</v>
      </c>
      <c r="F27" s="144" t="s">
        <v>166</v>
      </c>
      <c r="G27" s="144"/>
      <c r="H27" s="587"/>
      <c r="I27" s="144">
        <v>15</v>
      </c>
      <c r="J27" s="77">
        <v>4806</v>
      </c>
      <c r="K27" s="253"/>
      <c r="L27" s="77">
        <f t="shared" si="0"/>
        <v>4806</v>
      </c>
      <c r="M27" s="253"/>
      <c r="N27" s="253">
        <v>386</v>
      </c>
      <c r="O27" s="77">
        <f t="shared" si="1"/>
        <v>386</v>
      </c>
      <c r="P27" s="76">
        <f t="shared" si="2"/>
        <v>4420</v>
      </c>
      <c r="Q27" s="144"/>
      <c r="R27" s="415" t="s">
        <v>755</v>
      </c>
    </row>
    <row r="28" spans="2:18" ht="22.5" customHeight="1" thickBot="1">
      <c r="B28" s="667" t="s">
        <v>45</v>
      </c>
      <c r="C28" s="668"/>
      <c r="D28" s="668"/>
      <c r="E28" s="668"/>
      <c r="F28" s="668"/>
      <c r="G28" s="668"/>
      <c r="H28" s="668"/>
      <c r="I28" s="668"/>
      <c r="J28" s="569">
        <f>SUM(J12:K24)</f>
        <v>64696</v>
      </c>
      <c r="K28" s="569">
        <f t="shared" ref="K28" si="6">SUM(K12:K22)</f>
        <v>0</v>
      </c>
      <c r="L28" s="569">
        <f>SUM(L12:L27)</f>
        <v>79114</v>
      </c>
      <c r="M28" s="569">
        <f>SUM(M12:M22)</f>
        <v>1000</v>
      </c>
      <c r="N28" s="569">
        <f>SUM(N12:N27)</f>
        <v>6570</v>
      </c>
      <c r="O28" s="569">
        <f>SUM(O12:O27)</f>
        <v>7570</v>
      </c>
      <c r="P28" s="252">
        <f>SUM(P12:P27)</f>
        <v>71544</v>
      </c>
      <c r="Q28" s="145"/>
    </row>
    <row r="29" spans="2:18" ht="22.5" customHeight="1" thickTop="1">
      <c r="B29" s="146"/>
      <c r="C29" s="146"/>
      <c r="D29" s="146"/>
      <c r="E29" s="146"/>
      <c r="F29" s="146"/>
      <c r="G29" s="146"/>
      <c r="H29" s="342"/>
      <c r="I29" s="146"/>
      <c r="J29" s="147"/>
      <c r="K29" s="147"/>
      <c r="L29" s="147"/>
      <c r="M29" s="147"/>
      <c r="N29" s="147"/>
      <c r="O29" s="147"/>
      <c r="P29" s="148" t="s">
        <v>46</v>
      </c>
      <c r="Q29" s="145"/>
    </row>
    <row r="30" spans="2:18" ht="22.5" customHeight="1">
      <c r="B30" s="146"/>
      <c r="C30" s="146"/>
      <c r="D30" s="146"/>
      <c r="E30" s="146"/>
      <c r="F30" s="146"/>
      <c r="G30" s="146"/>
      <c r="H30" s="342"/>
      <c r="I30" s="146"/>
      <c r="J30" s="147"/>
      <c r="K30" s="147"/>
      <c r="L30" s="147"/>
      <c r="M30" s="147"/>
      <c r="N30" s="147"/>
      <c r="O30" s="147"/>
      <c r="P30" s="147"/>
      <c r="Q30" s="145"/>
    </row>
    <row r="31" spans="2:18" ht="22.5" customHeight="1">
      <c r="B31" s="150"/>
      <c r="C31" s="150"/>
      <c r="D31" s="150"/>
      <c r="E31" s="150"/>
      <c r="F31" s="146"/>
      <c r="G31" s="146"/>
      <c r="H31" s="342"/>
      <c r="I31" s="676"/>
      <c r="J31" s="676"/>
      <c r="K31" s="676"/>
      <c r="L31" s="676"/>
      <c r="M31" s="676"/>
      <c r="N31" s="147"/>
      <c r="O31" s="674"/>
      <c r="P31" s="674"/>
      <c r="Q31" s="674"/>
    </row>
    <row r="32" spans="2:18" ht="15" customHeight="1">
      <c r="B32" s="616" t="s">
        <v>708</v>
      </c>
      <c r="C32" s="616"/>
      <c r="D32" s="616"/>
      <c r="E32" s="616"/>
      <c r="F32" s="149"/>
      <c r="G32" s="149"/>
      <c r="H32" s="343"/>
      <c r="I32" s="616" t="s">
        <v>765</v>
      </c>
      <c r="J32" s="616"/>
      <c r="K32" s="616"/>
      <c r="L32" s="616"/>
      <c r="M32" s="616"/>
      <c r="O32" s="616" t="s">
        <v>572</v>
      </c>
      <c r="P32" s="616"/>
      <c r="Q32" s="616"/>
    </row>
    <row r="33" spans="2:17" ht="12.75">
      <c r="B33" s="616" t="s">
        <v>145</v>
      </c>
      <c r="C33" s="616"/>
      <c r="D33" s="616"/>
      <c r="E33" s="616"/>
      <c r="F33" s="149"/>
      <c r="I33" s="616" t="s">
        <v>146</v>
      </c>
      <c r="J33" s="616"/>
      <c r="K33" s="616"/>
      <c r="L33" s="616"/>
      <c r="M33" s="616"/>
      <c r="O33" s="675" t="s">
        <v>645</v>
      </c>
      <c r="P33" s="675"/>
      <c r="Q33" s="675"/>
    </row>
    <row r="34" spans="2:17">
      <c r="J34" s="115"/>
      <c r="L34" s="115"/>
    </row>
    <row r="35" spans="2:17" ht="15" customHeight="1">
      <c r="J35" s="114"/>
      <c r="L35" s="114"/>
      <c r="N35" s="114"/>
      <c r="O35" s="114"/>
      <c r="P35" s="114">
        <f>L28-O28</f>
        <v>71544</v>
      </c>
    </row>
    <row r="36" spans="2:17" ht="15" customHeight="1">
      <c r="J36" s="115"/>
      <c r="L36" s="115"/>
      <c r="P36" s="114">
        <f>P28-P35</f>
        <v>0</v>
      </c>
    </row>
  </sheetData>
  <mergeCells count="17">
    <mergeCell ref="I33:M33"/>
    <mergeCell ref="B32:E32"/>
    <mergeCell ref="B33:E33"/>
    <mergeCell ref="O31:Q31"/>
    <mergeCell ref="O32:Q32"/>
    <mergeCell ref="O33:Q33"/>
    <mergeCell ref="I31:M31"/>
    <mergeCell ref="I32:M32"/>
    <mergeCell ref="B2:P2"/>
    <mergeCell ref="J8:L8"/>
    <mergeCell ref="N8:O8"/>
    <mergeCell ref="C9:E9"/>
    <mergeCell ref="B28:I28"/>
    <mergeCell ref="B3:Q3"/>
    <mergeCell ref="B4:Q4"/>
    <mergeCell ref="Q9:Q10"/>
    <mergeCell ref="N9:O9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topLeftCell="A19" workbookViewId="0">
      <selection activeCell="P11" sqref="P11"/>
    </sheetView>
  </sheetViews>
  <sheetFormatPr baseColWidth="10" defaultRowHeight="12.75"/>
  <cols>
    <col min="1" max="1" width="2.5703125" style="47" customWidth="1"/>
    <col min="2" max="2" width="3.28515625" style="47" customWidth="1"/>
    <col min="3" max="3" width="9" style="47" customWidth="1"/>
    <col min="4" max="4" width="9.28515625" style="47" customWidth="1"/>
    <col min="5" max="5" width="13.85546875" style="47" customWidth="1"/>
    <col min="6" max="6" width="17.85546875" style="47" customWidth="1"/>
    <col min="7" max="7" width="4.42578125" style="47" hidden="1" customWidth="1"/>
    <col min="8" max="8" width="4.28515625" style="47" customWidth="1"/>
    <col min="9" max="9" width="9.140625" style="47" hidden="1" customWidth="1"/>
    <col min="10" max="10" width="9.42578125" style="345" hidden="1" customWidth="1"/>
    <col min="11" max="11" width="12.140625" style="48" customWidth="1"/>
    <col min="12" max="12" width="12.85546875" style="48" hidden="1" customWidth="1"/>
    <col min="13" max="13" width="12" style="48" customWidth="1"/>
    <col min="14" max="15" width="10.140625" style="48" customWidth="1"/>
    <col min="16" max="16" width="11.28515625" style="48" customWidth="1"/>
    <col min="17" max="17" width="11.42578125" style="48" customWidth="1"/>
    <col min="18" max="18" width="14.42578125" style="48" customWidth="1"/>
    <col min="19" max="19" width="29.5703125" style="47" customWidth="1"/>
    <col min="20" max="21" width="17.140625" style="47" customWidth="1"/>
    <col min="22" max="16384" width="11.42578125" style="47"/>
  </cols>
  <sheetData>
    <row r="2" spans="2:21">
      <c r="B2" s="49"/>
      <c r="C2" s="50"/>
      <c r="D2" s="50"/>
      <c r="E2" s="50"/>
      <c r="F2" s="50"/>
      <c r="G2" s="50"/>
      <c r="H2" s="50"/>
      <c r="I2" s="50"/>
      <c r="J2" s="344"/>
      <c r="K2" s="51"/>
      <c r="L2" s="51"/>
      <c r="M2" s="51"/>
      <c r="N2" s="51"/>
      <c r="O2" s="51"/>
      <c r="P2" s="51"/>
      <c r="Q2" s="51"/>
      <c r="R2" s="51"/>
      <c r="S2" s="52"/>
    </row>
    <row r="3" spans="2:21" ht="19.5">
      <c r="B3" s="677" t="s">
        <v>206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9"/>
    </row>
    <row r="4" spans="2:21" ht="17.25">
      <c r="B4" s="654" t="s">
        <v>787</v>
      </c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1"/>
    </row>
    <row r="5" spans="2:21">
      <c r="B5" s="53"/>
      <c r="C5" s="54" t="s">
        <v>0</v>
      </c>
      <c r="D5" s="55"/>
      <c r="E5" s="55"/>
      <c r="K5" s="56"/>
      <c r="L5" s="56"/>
      <c r="M5" s="56"/>
      <c r="N5" s="56"/>
      <c r="O5" s="56"/>
      <c r="P5" s="56"/>
      <c r="Q5" s="56"/>
      <c r="R5" s="56"/>
      <c r="S5" s="57"/>
    </row>
    <row r="6" spans="2:21">
      <c r="B6" s="58"/>
      <c r="C6" s="250" t="s">
        <v>530</v>
      </c>
      <c r="D6" s="250"/>
      <c r="E6" s="59"/>
      <c r="F6" s="59"/>
      <c r="G6" s="59"/>
      <c r="H6" s="59"/>
      <c r="I6" s="59"/>
      <c r="J6" s="346"/>
      <c r="K6" s="60"/>
      <c r="L6" s="60"/>
      <c r="M6" s="60"/>
      <c r="N6" s="60"/>
      <c r="O6" s="60"/>
      <c r="P6" s="60"/>
      <c r="Q6" s="60"/>
      <c r="R6" s="60"/>
      <c r="S6" s="61"/>
    </row>
    <row r="7" spans="2:21" ht="15.75" customHeight="1">
      <c r="B7" s="486" t="s">
        <v>54</v>
      </c>
      <c r="C7" s="487"/>
      <c r="D7" s="487"/>
      <c r="E7" s="487"/>
      <c r="F7" s="689"/>
      <c r="G7" s="689"/>
      <c r="H7" s="689"/>
      <c r="I7" s="488"/>
      <c r="J7" s="488"/>
      <c r="K7" s="688" t="s">
        <v>55</v>
      </c>
      <c r="L7" s="688"/>
      <c r="M7" s="688"/>
      <c r="N7" s="688"/>
      <c r="O7" s="688"/>
      <c r="P7" s="690" t="s">
        <v>56</v>
      </c>
      <c r="Q7" s="691"/>
      <c r="R7" s="489"/>
      <c r="S7" s="682" t="s">
        <v>29</v>
      </c>
    </row>
    <row r="8" spans="2:21">
      <c r="B8" s="490" t="s">
        <v>57</v>
      </c>
      <c r="C8" s="491" t="s">
        <v>47</v>
      </c>
      <c r="D8" s="492"/>
      <c r="E8" s="492"/>
      <c r="F8" s="493"/>
      <c r="G8" s="494"/>
      <c r="H8" s="495" t="s">
        <v>58</v>
      </c>
      <c r="I8" s="495"/>
      <c r="J8" s="495"/>
      <c r="K8" s="496" t="s">
        <v>59</v>
      </c>
      <c r="L8" s="497" t="s">
        <v>60</v>
      </c>
      <c r="M8" s="496" t="s">
        <v>61</v>
      </c>
      <c r="N8" s="496" t="s">
        <v>62</v>
      </c>
      <c r="O8" s="496"/>
      <c r="P8" s="496"/>
      <c r="Q8" s="496" t="s">
        <v>63</v>
      </c>
      <c r="R8" s="498"/>
      <c r="S8" s="683"/>
    </row>
    <row r="9" spans="2:21">
      <c r="B9" s="499" t="s">
        <v>64</v>
      </c>
      <c r="C9" s="500" t="s">
        <v>48</v>
      </c>
      <c r="D9" s="500" t="s">
        <v>49</v>
      </c>
      <c r="E9" s="500" t="s">
        <v>50</v>
      </c>
      <c r="F9" s="500" t="s">
        <v>51</v>
      </c>
      <c r="G9" s="501" t="s">
        <v>52</v>
      </c>
      <c r="H9" s="502" t="s">
        <v>65</v>
      </c>
      <c r="I9" s="502"/>
      <c r="J9" s="502"/>
      <c r="K9" s="503" t="s">
        <v>66</v>
      </c>
      <c r="L9" s="504" t="s">
        <v>67</v>
      </c>
      <c r="M9" s="503" t="s">
        <v>68</v>
      </c>
      <c r="N9" s="503" t="s">
        <v>69</v>
      </c>
      <c r="O9" s="503" t="s">
        <v>561</v>
      </c>
      <c r="P9" s="503" t="s">
        <v>70</v>
      </c>
      <c r="Q9" s="503" t="s">
        <v>71</v>
      </c>
      <c r="R9" s="595" t="s">
        <v>72</v>
      </c>
      <c r="S9" s="684"/>
    </row>
    <row r="10" spans="2:21">
      <c r="B10" s="97"/>
      <c r="C10" s="62"/>
      <c r="D10" s="62"/>
      <c r="E10" s="62"/>
      <c r="F10" s="62"/>
      <c r="G10" s="62"/>
      <c r="H10" s="62"/>
      <c r="I10" s="62"/>
      <c r="J10" s="347"/>
      <c r="K10" s="63"/>
      <c r="L10" s="63"/>
      <c r="M10" s="63"/>
      <c r="N10" s="63"/>
      <c r="O10" s="63"/>
      <c r="P10" s="63"/>
      <c r="Q10" s="63"/>
      <c r="R10" s="63"/>
      <c r="S10" s="64"/>
    </row>
    <row r="11" spans="2:21" ht="27.95" customHeight="1">
      <c r="B11" s="1">
        <v>1</v>
      </c>
      <c r="C11" s="2" t="s">
        <v>73</v>
      </c>
      <c r="D11" s="2" t="s">
        <v>74</v>
      </c>
      <c r="E11" s="2" t="s">
        <v>75</v>
      </c>
      <c r="F11" s="2" t="s">
        <v>76</v>
      </c>
      <c r="G11" s="65"/>
      <c r="H11" s="66">
        <v>15</v>
      </c>
      <c r="I11" s="67">
        <f>K11/15</f>
        <v>242.53333333333333</v>
      </c>
      <c r="J11" s="348">
        <f>6996/2</f>
        <v>3498</v>
      </c>
      <c r="K11" s="77">
        <v>3638</v>
      </c>
      <c r="L11" s="68"/>
      <c r="M11" s="68">
        <f>K11</f>
        <v>3638</v>
      </c>
      <c r="N11" s="68">
        <v>0</v>
      </c>
      <c r="O11" s="77"/>
      <c r="P11" s="68">
        <v>150</v>
      </c>
      <c r="Q11" s="69">
        <f>O11+P11</f>
        <v>150</v>
      </c>
      <c r="R11" s="70">
        <f>M11-Q11</f>
        <v>3488</v>
      </c>
      <c r="S11" s="71"/>
      <c r="T11" s="72"/>
      <c r="U11" s="48">
        <v>2746.82</v>
      </c>
    </row>
    <row r="12" spans="2:21" ht="27.95" customHeight="1">
      <c r="B12" s="1">
        <v>2</v>
      </c>
      <c r="C12" s="2" t="s">
        <v>77</v>
      </c>
      <c r="D12" s="2" t="s">
        <v>78</v>
      </c>
      <c r="E12" s="2" t="s">
        <v>79</v>
      </c>
      <c r="F12" s="2" t="s">
        <v>80</v>
      </c>
      <c r="G12" s="66"/>
      <c r="H12" s="66">
        <v>15</v>
      </c>
      <c r="I12" s="67">
        <f t="shared" ref="I12:I20" si="0">K12/15</f>
        <v>248.53333333333333</v>
      </c>
      <c r="J12" s="348">
        <f>7170/2</f>
        <v>3585</v>
      </c>
      <c r="K12" s="77">
        <v>3728</v>
      </c>
      <c r="L12" s="68"/>
      <c r="M12" s="68">
        <f t="shared" ref="M12:M33" si="1">K12</f>
        <v>3728</v>
      </c>
      <c r="N12" s="68">
        <v>0</v>
      </c>
      <c r="O12" s="77"/>
      <c r="P12" s="68">
        <v>269</v>
      </c>
      <c r="Q12" s="69">
        <f t="shared" ref="Q12:Q34" si="2">P12</f>
        <v>269</v>
      </c>
      <c r="R12" s="70">
        <f t="shared" ref="R12:R34" si="3">M12+N12-Q12-O12</f>
        <v>3459</v>
      </c>
      <c r="S12" s="73"/>
      <c r="U12" s="48">
        <v>3321.69</v>
      </c>
    </row>
    <row r="13" spans="2:21" ht="27.95" customHeight="1">
      <c r="B13" s="1">
        <v>3</v>
      </c>
      <c r="C13" s="2" t="s">
        <v>81</v>
      </c>
      <c r="D13" s="2" t="s">
        <v>82</v>
      </c>
      <c r="E13" s="2" t="s">
        <v>83</v>
      </c>
      <c r="F13" s="2" t="s">
        <v>84</v>
      </c>
      <c r="G13" s="66"/>
      <c r="H13" s="66">
        <v>15</v>
      </c>
      <c r="I13" s="67">
        <f t="shared" si="0"/>
        <v>285.06666666666666</v>
      </c>
      <c r="J13" s="348">
        <f>8224/2</f>
        <v>4112</v>
      </c>
      <c r="K13" s="77">
        <v>4276</v>
      </c>
      <c r="L13" s="68"/>
      <c r="M13" s="68">
        <f t="shared" si="1"/>
        <v>4276</v>
      </c>
      <c r="N13" s="68">
        <v>0</v>
      </c>
      <c r="O13" s="68"/>
      <c r="P13" s="68">
        <v>328</v>
      </c>
      <c r="Q13" s="69">
        <f t="shared" si="2"/>
        <v>328</v>
      </c>
      <c r="R13" s="70">
        <f>M13+N13-Q13-O13</f>
        <v>3948</v>
      </c>
      <c r="S13" s="73"/>
      <c r="U13" s="48">
        <v>3646.75</v>
      </c>
    </row>
    <row r="14" spans="2:21" ht="27.95" customHeight="1">
      <c r="B14" s="1">
        <v>4</v>
      </c>
      <c r="C14" s="2" t="s">
        <v>143</v>
      </c>
      <c r="D14" s="2" t="s">
        <v>118</v>
      </c>
      <c r="E14" s="2" t="s">
        <v>85</v>
      </c>
      <c r="F14" s="2" t="s">
        <v>76</v>
      </c>
      <c r="G14" s="66"/>
      <c r="H14" s="66">
        <v>15</v>
      </c>
      <c r="I14" s="67">
        <f t="shared" si="0"/>
        <v>242.53333333333333</v>
      </c>
      <c r="J14" s="348">
        <f>6996/2</f>
        <v>3498</v>
      </c>
      <c r="K14" s="77">
        <v>3638</v>
      </c>
      <c r="L14" s="68"/>
      <c r="M14" s="68">
        <f t="shared" si="1"/>
        <v>3638</v>
      </c>
      <c r="N14" s="68">
        <v>0</v>
      </c>
      <c r="O14" s="68"/>
      <c r="P14" s="68">
        <v>150</v>
      </c>
      <c r="Q14" s="69">
        <f t="shared" si="2"/>
        <v>150</v>
      </c>
      <c r="R14" s="70">
        <f t="shared" si="3"/>
        <v>3488</v>
      </c>
      <c r="S14" s="73"/>
      <c r="U14" s="48">
        <v>3246.82</v>
      </c>
    </row>
    <row r="15" spans="2:21" ht="27.95" customHeight="1">
      <c r="B15" s="1">
        <v>5</v>
      </c>
      <c r="C15" s="2" t="s">
        <v>86</v>
      </c>
      <c r="D15" s="2" t="s">
        <v>87</v>
      </c>
      <c r="E15" s="2" t="s">
        <v>88</v>
      </c>
      <c r="F15" s="2" t="s">
        <v>89</v>
      </c>
      <c r="G15" s="74"/>
      <c r="H15" s="75">
        <v>15</v>
      </c>
      <c r="I15" s="76">
        <f t="shared" si="0"/>
        <v>346.06666666666666</v>
      </c>
      <c r="J15" s="349">
        <f>9984/2</f>
        <v>4992</v>
      </c>
      <c r="K15" s="77">
        <v>5191</v>
      </c>
      <c r="L15" s="77"/>
      <c r="M15" s="68">
        <f t="shared" si="1"/>
        <v>5191</v>
      </c>
      <c r="N15" s="77">
        <v>0</v>
      </c>
      <c r="O15" s="77"/>
      <c r="P15" s="77">
        <v>447</v>
      </c>
      <c r="Q15" s="69">
        <f t="shared" si="2"/>
        <v>447</v>
      </c>
      <c r="R15" s="70">
        <f t="shared" si="3"/>
        <v>4744</v>
      </c>
      <c r="S15" s="78"/>
      <c r="U15" s="48">
        <v>2840.49</v>
      </c>
    </row>
    <row r="16" spans="2:21" ht="27.95" customHeight="1">
      <c r="B16" s="1">
        <v>6</v>
      </c>
      <c r="C16" s="7" t="s">
        <v>171</v>
      </c>
      <c r="D16" s="7" t="s">
        <v>204</v>
      </c>
      <c r="E16" s="7" t="s">
        <v>209</v>
      </c>
      <c r="F16" s="7" t="s">
        <v>76</v>
      </c>
      <c r="G16" s="65"/>
      <c r="H16" s="66">
        <v>15</v>
      </c>
      <c r="I16" s="67">
        <f t="shared" si="0"/>
        <v>267.66666666666669</v>
      </c>
      <c r="J16" s="348">
        <v>3861.14</v>
      </c>
      <c r="K16" s="77">
        <v>4015</v>
      </c>
      <c r="L16" s="68"/>
      <c r="M16" s="68">
        <f t="shared" si="1"/>
        <v>4015</v>
      </c>
      <c r="N16" s="68">
        <v>0</v>
      </c>
      <c r="O16" s="68"/>
      <c r="P16" s="68">
        <v>300</v>
      </c>
      <c r="Q16" s="69">
        <f t="shared" si="2"/>
        <v>300</v>
      </c>
      <c r="R16" s="70">
        <f t="shared" si="3"/>
        <v>3715</v>
      </c>
      <c r="S16" s="73"/>
      <c r="U16" s="48">
        <v>3000.9</v>
      </c>
    </row>
    <row r="17" spans="2:21" ht="27.95" customHeight="1">
      <c r="B17" s="1">
        <v>7</v>
      </c>
      <c r="C17" s="2" t="s">
        <v>90</v>
      </c>
      <c r="D17" s="2" t="s">
        <v>91</v>
      </c>
      <c r="E17" s="2" t="s">
        <v>92</v>
      </c>
      <c r="F17" s="2" t="s">
        <v>76</v>
      </c>
      <c r="G17" s="65"/>
      <c r="H17" s="66">
        <v>15</v>
      </c>
      <c r="I17" s="67">
        <f t="shared" si="0"/>
        <v>285.06666666666666</v>
      </c>
      <c r="J17" s="348">
        <f>8224/2</f>
        <v>4112</v>
      </c>
      <c r="K17" s="77">
        <v>4276</v>
      </c>
      <c r="L17" s="68"/>
      <c r="M17" s="68">
        <f t="shared" si="1"/>
        <v>4276</v>
      </c>
      <c r="N17" s="68">
        <v>0</v>
      </c>
      <c r="O17" s="68"/>
      <c r="P17" s="68">
        <v>328</v>
      </c>
      <c r="Q17" s="69">
        <f t="shared" si="2"/>
        <v>328</v>
      </c>
      <c r="R17" s="70">
        <f t="shared" si="3"/>
        <v>3948</v>
      </c>
      <c r="S17" s="73"/>
      <c r="T17" s="72"/>
      <c r="U17" s="48">
        <v>3646.75</v>
      </c>
    </row>
    <row r="18" spans="2:21" ht="27.95" customHeight="1">
      <c r="B18" s="1">
        <v>8</v>
      </c>
      <c r="C18" s="2" t="s">
        <v>78</v>
      </c>
      <c r="D18" s="2" t="s">
        <v>93</v>
      </c>
      <c r="E18" s="2" t="s">
        <v>94</v>
      </c>
      <c r="F18" s="2" t="s">
        <v>95</v>
      </c>
      <c r="G18" s="65"/>
      <c r="H18" s="66">
        <v>15</v>
      </c>
      <c r="I18" s="67">
        <f>K18/15</f>
        <v>478.93333333333334</v>
      </c>
      <c r="J18" s="348">
        <f>13816/2</f>
        <v>6908</v>
      </c>
      <c r="K18" s="77">
        <v>7184</v>
      </c>
      <c r="L18" s="68"/>
      <c r="M18" s="68">
        <f t="shared" si="1"/>
        <v>7184</v>
      </c>
      <c r="N18" s="68">
        <v>0</v>
      </c>
      <c r="O18" s="68"/>
      <c r="P18" s="68">
        <v>814</v>
      </c>
      <c r="Q18" s="69">
        <f t="shared" si="2"/>
        <v>814</v>
      </c>
      <c r="R18" s="70">
        <f t="shared" si="3"/>
        <v>6370</v>
      </c>
      <c r="S18" s="73"/>
      <c r="U18" s="48">
        <v>5870.78</v>
      </c>
    </row>
    <row r="19" spans="2:21" ht="27.95" customHeight="1">
      <c r="B19" s="1">
        <v>9</v>
      </c>
      <c r="C19" s="2" t="s">
        <v>96</v>
      </c>
      <c r="D19" s="2" t="s">
        <v>97</v>
      </c>
      <c r="E19" s="2" t="s">
        <v>98</v>
      </c>
      <c r="F19" s="2" t="s">
        <v>99</v>
      </c>
      <c r="G19" s="65"/>
      <c r="H19" s="66">
        <v>15</v>
      </c>
      <c r="I19" s="67">
        <f t="shared" si="0"/>
        <v>105.13333333333334</v>
      </c>
      <c r="J19" s="348">
        <f>3032/2</f>
        <v>1516</v>
      </c>
      <c r="K19" s="77">
        <v>1577</v>
      </c>
      <c r="L19" s="68"/>
      <c r="M19" s="68">
        <f t="shared" si="1"/>
        <v>1577</v>
      </c>
      <c r="N19" s="68">
        <v>116.82</v>
      </c>
      <c r="O19" s="68"/>
      <c r="P19" s="68"/>
      <c r="Q19" s="69">
        <f t="shared" si="2"/>
        <v>0</v>
      </c>
      <c r="R19" s="70">
        <f t="shared" si="3"/>
        <v>1693.82</v>
      </c>
      <c r="S19" s="73"/>
      <c r="U19" s="48">
        <v>1567.85</v>
      </c>
    </row>
    <row r="20" spans="2:21" ht="27.95" customHeight="1">
      <c r="B20" s="1">
        <v>10</v>
      </c>
      <c r="C20" s="3" t="s">
        <v>101</v>
      </c>
      <c r="D20" s="3" t="s">
        <v>96</v>
      </c>
      <c r="E20" s="3" t="s">
        <v>102</v>
      </c>
      <c r="F20" s="3" t="s">
        <v>76</v>
      </c>
      <c r="G20" s="79"/>
      <c r="H20" s="79">
        <v>15</v>
      </c>
      <c r="I20" s="76">
        <f t="shared" si="0"/>
        <v>298.2</v>
      </c>
      <c r="J20" s="349">
        <f>8602/2</f>
        <v>4301</v>
      </c>
      <c r="K20" s="77">
        <v>4473</v>
      </c>
      <c r="L20" s="77"/>
      <c r="M20" s="68">
        <f t="shared" si="1"/>
        <v>4473</v>
      </c>
      <c r="N20" s="80">
        <v>0</v>
      </c>
      <c r="O20" s="80"/>
      <c r="P20" s="80">
        <v>350</v>
      </c>
      <c r="Q20" s="69">
        <f t="shared" si="2"/>
        <v>350</v>
      </c>
      <c r="R20" s="70">
        <f t="shared" si="3"/>
        <v>4123</v>
      </c>
      <c r="S20" s="78"/>
      <c r="U20" s="48">
        <v>3808.94</v>
      </c>
    </row>
    <row r="21" spans="2:21" ht="27.95" customHeight="1">
      <c r="B21" s="1">
        <v>11</v>
      </c>
      <c r="C21" s="2" t="s">
        <v>105</v>
      </c>
      <c r="D21" s="2" t="s">
        <v>556</v>
      </c>
      <c r="E21" s="2" t="s">
        <v>106</v>
      </c>
      <c r="F21" s="2" t="s">
        <v>107</v>
      </c>
      <c r="G21" s="65"/>
      <c r="H21" s="66">
        <v>15</v>
      </c>
      <c r="I21" s="67">
        <f>K21/15</f>
        <v>208.2</v>
      </c>
      <c r="J21" s="348">
        <f>6006/2</f>
        <v>3003</v>
      </c>
      <c r="K21" s="452">
        <v>3123</v>
      </c>
      <c r="L21" s="68"/>
      <c r="M21" s="68">
        <f t="shared" si="1"/>
        <v>3123</v>
      </c>
      <c r="N21" s="68">
        <v>0</v>
      </c>
      <c r="O21" s="77"/>
      <c r="P21" s="77">
        <v>76</v>
      </c>
      <c r="Q21" s="69">
        <f>P21</f>
        <v>76</v>
      </c>
      <c r="R21" s="70">
        <f>M21+N21-Q21-O21</f>
        <v>3047</v>
      </c>
      <c r="S21" s="73"/>
      <c r="U21" s="48">
        <v>2844.08</v>
      </c>
    </row>
    <row r="22" spans="2:21" ht="27.95" customHeight="1">
      <c r="B22" s="1">
        <v>12</v>
      </c>
      <c r="C22" s="5" t="s">
        <v>108</v>
      </c>
      <c r="D22" s="5" t="s">
        <v>108</v>
      </c>
      <c r="E22" s="5" t="s">
        <v>109</v>
      </c>
      <c r="F22" s="5" t="s">
        <v>110</v>
      </c>
      <c r="G22" s="81"/>
      <c r="H22" s="82">
        <v>15</v>
      </c>
      <c r="I22" s="83">
        <f>K22/15</f>
        <v>204.2</v>
      </c>
      <c r="J22" s="350">
        <f>5166/2</f>
        <v>2583</v>
      </c>
      <c r="K22" s="453">
        <v>3063</v>
      </c>
      <c r="L22" s="85"/>
      <c r="M22" s="68">
        <f t="shared" si="1"/>
        <v>3063</v>
      </c>
      <c r="N22" s="85"/>
      <c r="O22" s="85"/>
      <c r="P22" s="85">
        <v>49</v>
      </c>
      <c r="Q22" s="69">
        <f t="shared" si="2"/>
        <v>49</v>
      </c>
      <c r="R22" s="70">
        <f>M22+N22-Q22-O22</f>
        <v>3014</v>
      </c>
      <c r="S22" s="73"/>
      <c r="U22" s="48">
        <v>2477.7399999999998</v>
      </c>
    </row>
    <row r="23" spans="2:21" ht="27.95" customHeight="1">
      <c r="B23" s="1">
        <v>13</v>
      </c>
      <c r="C23" s="2" t="s">
        <v>111</v>
      </c>
      <c r="D23" s="2" t="s">
        <v>112</v>
      </c>
      <c r="E23" s="2" t="s">
        <v>113</v>
      </c>
      <c r="F23" s="2" t="s">
        <v>114</v>
      </c>
      <c r="G23" s="66"/>
      <c r="H23" s="66">
        <v>15</v>
      </c>
      <c r="I23" s="86">
        <f t="shared" ref="I23:I34" si="4">K23/15</f>
        <v>30.2</v>
      </c>
      <c r="J23" s="351">
        <f>872/2</f>
        <v>436</v>
      </c>
      <c r="K23" s="77">
        <v>453</v>
      </c>
      <c r="L23" s="68">
        <v>0</v>
      </c>
      <c r="M23" s="68">
        <f t="shared" si="1"/>
        <v>453</v>
      </c>
      <c r="N23" s="68">
        <v>188.95</v>
      </c>
      <c r="O23" s="68"/>
      <c r="P23" s="68"/>
      <c r="Q23" s="69">
        <f t="shared" si="2"/>
        <v>0</v>
      </c>
      <c r="R23" s="70">
        <f t="shared" si="3"/>
        <v>641.95000000000005</v>
      </c>
      <c r="S23" s="73"/>
      <c r="U23" s="48">
        <v>604.91</v>
      </c>
    </row>
    <row r="24" spans="2:21" ht="27.95" customHeight="1">
      <c r="B24" s="1">
        <v>14</v>
      </c>
      <c r="C24" s="2" t="s">
        <v>115</v>
      </c>
      <c r="D24" s="2" t="s">
        <v>116</v>
      </c>
      <c r="E24" s="2" t="s">
        <v>117</v>
      </c>
      <c r="F24" s="2" t="s">
        <v>259</v>
      </c>
      <c r="G24" s="66"/>
      <c r="H24" s="66">
        <v>15</v>
      </c>
      <c r="I24" s="86">
        <f t="shared" si="4"/>
        <v>148.66666666666666</v>
      </c>
      <c r="J24" s="351">
        <f>4288/2</f>
        <v>2144</v>
      </c>
      <c r="K24" s="77">
        <v>2230</v>
      </c>
      <c r="L24" s="68">
        <v>0</v>
      </c>
      <c r="M24" s="68">
        <f t="shared" si="1"/>
        <v>2230</v>
      </c>
      <c r="N24" s="77">
        <v>48.83</v>
      </c>
      <c r="O24" s="77"/>
      <c r="P24" s="68"/>
      <c r="Q24" s="69">
        <f t="shared" si="2"/>
        <v>0</v>
      </c>
      <c r="R24" s="70">
        <f t="shared" si="3"/>
        <v>2278.83</v>
      </c>
      <c r="S24" s="71"/>
      <c r="U24" s="48">
        <v>2115.5</v>
      </c>
    </row>
    <row r="25" spans="2:21" ht="27.95" customHeight="1">
      <c r="B25" s="1">
        <v>15</v>
      </c>
      <c r="C25" s="2" t="s">
        <v>118</v>
      </c>
      <c r="D25" s="2" t="s">
        <v>119</v>
      </c>
      <c r="E25" s="2" t="s">
        <v>120</v>
      </c>
      <c r="F25" s="2" t="s">
        <v>121</v>
      </c>
      <c r="G25" s="66"/>
      <c r="H25" s="66">
        <v>15</v>
      </c>
      <c r="I25" s="86">
        <f t="shared" si="4"/>
        <v>257</v>
      </c>
      <c r="J25" s="351">
        <f>7414/2</f>
        <v>3707</v>
      </c>
      <c r="K25" s="77">
        <v>3855</v>
      </c>
      <c r="L25" s="68">
        <v>0</v>
      </c>
      <c r="M25" s="68">
        <f t="shared" si="1"/>
        <v>3855</v>
      </c>
      <c r="N25" s="68"/>
      <c r="O25" s="68"/>
      <c r="P25" s="87">
        <v>282</v>
      </c>
      <c r="Q25" s="69">
        <f t="shared" si="2"/>
        <v>282</v>
      </c>
      <c r="R25" s="70">
        <f t="shared" si="3"/>
        <v>3573</v>
      </c>
      <c r="S25" s="73"/>
      <c r="U25" s="48">
        <v>3407.99</v>
      </c>
    </row>
    <row r="26" spans="2:21" ht="27.95" customHeight="1">
      <c r="B26" s="1">
        <v>16</v>
      </c>
      <c r="C26" s="2" t="s">
        <v>122</v>
      </c>
      <c r="D26" s="2" t="s">
        <v>116</v>
      </c>
      <c r="E26" s="2" t="s">
        <v>123</v>
      </c>
      <c r="F26" s="2" t="s">
        <v>124</v>
      </c>
      <c r="G26" s="66"/>
      <c r="H26" s="66">
        <v>15</v>
      </c>
      <c r="I26" s="86">
        <f t="shared" si="4"/>
        <v>285.06666666666666</v>
      </c>
      <c r="J26" s="351">
        <f>8224/2</f>
        <v>4112</v>
      </c>
      <c r="K26" s="77">
        <v>4276</v>
      </c>
      <c r="L26" s="68">
        <v>0</v>
      </c>
      <c r="M26" s="68">
        <f t="shared" si="1"/>
        <v>4276</v>
      </c>
      <c r="N26" s="68">
        <v>0</v>
      </c>
      <c r="O26" s="77"/>
      <c r="P26" s="68">
        <v>328</v>
      </c>
      <c r="Q26" s="69">
        <f t="shared" si="2"/>
        <v>328</v>
      </c>
      <c r="R26" s="70">
        <f t="shared" si="3"/>
        <v>3948</v>
      </c>
      <c r="S26" s="73"/>
      <c r="U26" s="48">
        <v>3646.75</v>
      </c>
    </row>
    <row r="27" spans="2:21" ht="28.5" customHeight="1">
      <c r="B27" s="1">
        <v>17</v>
      </c>
      <c r="C27" s="2" t="s">
        <v>276</v>
      </c>
      <c r="D27" s="2" t="s">
        <v>171</v>
      </c>
      <c r="E27" s="2" t="s">
        <v>277</v>
      </c>
      <c r="F27" s="99" t="s">
        <v>258</v>
      </c>
      <c r="G27" s="66"/>
      <c r="H27" s="66">
        <v>15</v>
      </c>
      <c r="I27" s="86">
        <f t="shared" si="4"/>
        <v>290.33333333333331</v>
      </c>
      <c r="J27" s="351">
        <f>8376/2</f>
        <v>4188</v>
      </c>
      <c r="K27" s="77">
        <v>4355</v>
      </c>
      <c r="L27" s="68">
        <v>0</v>
      </c>
      <c r="M27" s="68">
        <f t="shared" si="1"/>
        <v>4355</v>
      </c>
      <c r="N27" s="68">
        <v>0</v>
      </c>
      <c r="O27" s="77"/>
      <c r="P27" s="68">
        <v>337</v>
      </c>
      <c r="Q27" s="69">
        <f t="shared" si="2"/>
        <v>337</v>
      </c>
      <c r="R27" s="70">
        <f t="shared" si="3"/>
        <v>4018</v>
      </c>
      <c r="S27" s="73"/>
      <c r="U27" s="48">
        <v>3711.81</v>
      </c>
    </row>
    <row r="28" spans="2:21" ht="27.95" customHeight="1">
      <c r="B28" s="1">
        <v>18</v>
      </c>
      <c r="C28" s="2" t="s">
        <v>126</v>
      </c>
      <c r="D28" s="2" t="s">
        <v>127</v>
      </c>
      <c r="E28" s="2" t="s">
        <v>128</v>
      </c>
      <c r="F28" s="2" t="s">
        <v>129</v>
      </c>
      <c r="G28" s="66"/>
      <c r="H28" s="66">
        <v>15</v>
      </c>
      <c r="I28" s="86">
        <f t="shared" si="4"/>
        <v>247.13333333333333</v>
      </c>
      <c r="J28" s="351">
        <f>7128/2</f>
        <v>3564</v>
      </c>
      <c r="K28" s="77">
        <v>3707</v>
      </c>
      <c r="L28" s="68">
        <v>0</v>
      </c>
      <c r="M28" s="68">
        <f t="shared" si="1"/>
        <v>3707</v>
      </c>
      <c r="N28" s="68">
        <v>0</v>
      </c>
      <c r="O28" s="68"/>
      <c r="P28" s="68">
        <v>266</v>
      </c>
      <c r="Q28" s="69">
        <f t="shared" si="2"/>
        <v>266</v>
      </c>
      <c r="R28" s="70">
        <f t="shared" si="3"/>
        <v>3441</v>
      </c>
      <c r="S28" s="73"/>
      <c r="U28" s="48">
        <v>3303.86</v>
      </c>
    </row>
    <row r="29" spans="2:21" ht="27.95" customHeight="1">
      <c r="B29" s="1">
        <v>19</v>
      </c>
      <c r="C29" s="2" t="s">
        <v>130</v>
      </c>
      <c r="D29" s="2" t="s">
        <v>131</v>
      </c>
      <c r="E29" s="2" t="s">
        <v>132</v>
      </c>
      <c r="F29" s="2" t="s">
        <v>133</v>
      </c>
      <c r="G29" s="66"/>
      <c r="H29" s="66">
        <v>15</v>
      </c>
      <c r="I29" s="86">
        <f t="shared" si="4"/>
        <v>144.93333333333334</v>
      </c>
      <c r="J29" s="351">
        <f>4180/2</f>
        <v>2090</v>
      </c>
      <c r="K29" s="77">
        <v>2174</v>
      </c>
      <c r="L29" s="68">
        <v>0</v>
      </c>
      <c r="M29" s="68">
        <f t="shared" si="1"/>
        <v>2174</v>
      </c>
      <c r="N29" s="68">
        <v>66.53</v>
      </c>
      <c r="O29" s="68"/>
      <c r="P29" s="68"/>
      <c r="Q29" s="69">
        <f t="shared" si="2"/>
        <v>0</v>
      </c>
      <c r="R29" s="70">
        <f t="shared" si="3"/>
        <v>2240.5300000000002</v>
      </c>
      <c r="S29" s="73"/>
      <c r="U29" s="48">
        <v>2063.83</v>
      </c>
    </row>
    <row r="30" spans="2:21" ht="27.95" customHeight="1">
      <c r="B30" s="1">
        <v>20</v>
      </c>
      <c r="C30" s="2" t="s">
        <v>125</v>
      </c>
      <c r="D30" s="2" t="s">
        <v>134</v>
      </c>
      <c r="E30" s="2" t="s">
        <v>135</v>
      </c>
      <c r="F30" s="2" t="s">
        <v>136</v>
      </c>
      <c r="G30" s="66"/>
      <c r="H30" s="66">
        <v>15</v>
      </c>
      <c r="I30" s="86">
        <f t="shared" si="4"/>
        <v>198.53333333333333</v>
      </c>
      <c r="J30" s="351">
        <f>5726/2</f>
        <v>2863</v>
      </c>
      <c r="K30" s="77">
        <v>2978</v>
      </c>
      <c r="L30" s="68">
        <v>0</v>
      </c>
      <c r="M30" s="68">
        <f t="shared" si="1"/>
        <v>2978</v>
      </c>
      <c r="N30" s="68">
        <v>0</v>
      </c>
      <c r="O30" s="68"/>
      <c r="P30" s="68">
        <v>40</v>
      </c>
      <c r="Q30" s="69">
        <f t="shared" si="2"/>
        <v>40</v>
      </c>
      <c r="R30" s="70">
        <f t="shared" si="3"/>
        <v>2938</v>
      </c>
      <c r="S30" s="73"/>
      <c r="U30" s="48">
        <v>2700.57</v>
      </c>
    </row>
    <row r="31" spans="2:21" ht="27.95" customHeight="1">
      <c r="B31" s="8">
        <v>21</v>
      </c>
      <c r="C31" s="2" t="s">
        <v>104</v>
      </c>
      <c r="D31" s="2" t="s">
        <v>137</v>
      </c>
      <c r="E31" s="2" t="s">
        <v>138</v>
      </c>
      <c r="F31" s="2" t="s">
        <v>103</v>
      </c>
      <c r="G31" s="75"/>
      <c r="H31" s="75">
        <v>15</v>
      </c>
      <c r="I31" s="588">
        <f t="shared" si="4"/>
        <v>238</v>
      </c>
      <c r="J31" s="589">
        <f>6866/2</f>
        <v>3433</v>
      </c>
      <c r="K31" s="77">
        <v>3570</v>
      </c>
      <c r="L31" s="77">
        <v>0</v>
      </c>
      <c r="M31" s="77">
        <f t="shared" si="1"/>
        <v>3570</v>
      </c>
      <c r="N31" s="77">
        <v>0</v>
      </c>
      <c r="O31" s="77"/>
      <c r="P31" s="77">
        <v>143</v>
      </c>
      <c r="Q31" s="77">
        <f t="shared" si="2"/>
        <v>143</v>
      </c>
      <c r="R31" s="111">
        <f t="shared" si="3"/>
        <v>3427</v>
      </c>
      <c r="S31" s="590"/>
      <c r="U31" s="48">
        <v>3191.57</v>
      </c>
    </row>
    <row r="32" spans="2:21" ht="27.95" customHeight="1">
      <c r="B32" s="8">
        <v>22</v>
      </c>
      <c r="C32" s="2" t="s">
        <v>139</v>
      </c>
      <c r="D32" s="2" t="s">
        <v>140</v>
      </c>
      <c r="E32" s="2" t="s">
        <v>141</v>
      </c>
      <c r="F32" s="2" t="s">
        <v>76</v>
      </c>
      <c r="G32" s="75"/>
      <c r="H32" s="75">
        <v>15</v>
      </c>
      <c r="I32" s="588">
        <f t="shared" si="4"/>
        <v>233</v>
      </c>
      <c r="J32" s="589">
        <f>6722/2</f>
        <v>3361</v>
      </c>
      <c r="K32" s="77">
        <v>3495</v>
      </c>
      <c r="L32" s="77">
        <v>0</v>
      </c>
      <c r="M32" s="77">
        <f t="shared" si="1"/>
        <v>3495</v>
      </c>
      <c r="N32" s="77">
        <v>0</v>
      </c>
      <c r="O32" s="77"/>
      <c r="P32" s="77">
        <v>116</v>
      </c>
      <c r="Q32" s="77">
        <f t="shared" si="2"/>
        <v>116</v>
      </c>
      <c r="R32" s="111">
        <f t="shared" si="3"/>
        <v>3379</v>
      </c>
      <c r="S32" s="590"/>
      <c r="U32" s="48">
        <v>3130.19</v>
      </c>
    </row>
    <row r="33" spans="1:21" ht="27.95" customHeight="1">
      <c r="B33" s="1">
        <v>23</v>
      </c>
      <c r="C33" s="3" t="s">
        <v>142</v>
      </c>
      <c r="D33" s="3" t="s">
        <v>143</v>
      </c>
      <c r="E33" s="3" t="s">
        <v>144</v>
      </c>
      <c r="F33" s="3" t="s">
        <v>110</v>
      </c>
      <c r="G33" s="66"/>
      <c r="H33" s="66">
        <v>15</v>
      </c>
      <c r="I33" s="88">
        <f t="shared" si="4"/>
        <v>320.39999999999998</v>
      </c>
      <c r="J33" s="352">
        <f>9242/2</f>
        <v>4621</v>
      </c>
      <c r="K33" s="119">
        <v>4806</v>
      </c>
      <c r="L33" s="85">
        <v>0</v>
      </c>
      <c r="M33" s="68">
        <f t="shared" si="1"/>
        <v>4806</v>
      </c>
      <c r="N33" s="84">
        <v>0</v>
      </c>
      <c r="O33" s="84"/>
      <c r="P33" s="85">
        <v>386</v>
      </c>
      <c r="Q33" s="69">
        <f t="shared" si="2"/>
        <v>386</v>
      </c>
      <c r="R33" s="70">
        <f t="shared" si="3"/>
        <v>4420</v>
      </c>
      <c r="S33" s="73"/>
      <c r="U33" s="48">
        <v>4075.98</v>
      </c>
    </row>
    <row r="34" spans="1:21" ht="27.95" customHeight="1" thickBot="1">
      <c r="B34" s="4"/>
      <c r="C34" s="5"/>
      <c r="D34" s="5"/>
      <c r="E34" s="5"/>
      <c r="F34" s="5"/>
      <c r="G34" s="65"/>
      <c r="H34" s="82"/>
      <c r="I34" s="86">
        <f t="shared" si="4"/>
        <v>0</v>
      </c>
      <c r="J34" s="351">
        <f>14004/2</f>
        <v>7002</v>
      </c>
      <c r="K34" s="85"/>
      <c r="L34" s="85">
        <v>0</v>
      </c>
      <c r="M34" s="68"/>
      <c r="N34" s="85">
        <v>0</v>
      </c>
      <c r="O34" s="85"/>
      <c r="P34" s="85"/>
      <c r="Q34" s="69">
        <f t="shared" si="2"/>
        <v>0</v>
      </c>
      <c r="R34" s="70">
        <f t="shared" si="3"/>
        <v>0</v>
      </c>
      <c r="S34" s="71"/>
      <c r="U34" s="48">
        <v>5941.56</v>
      </c>
    </row>
    <row r="35" spans="1:21" ht="18.75" customHeight="1" thickBot="1">
      <c r="B35" s="685" t="s">
        <v>53</v>
      </c>
      <c r="C35" s="686"/>
      <c r="D35" s="686"/>
      <c r="E35" s="686"/>
      <c r="F35" s="687"/>
      <c r="G35" s="570"/>
      <c r="H35" s="571"/>
      <c r="I35" s="572"/>
      <c r="J35" s="573"/>
      <c r="K35" s="571">
        <f t="shared" ref="K35:R35" si="5">SUM(K11:K34)</f>
        <v>84081</v>
      </c>
      <c r="L35" s="571">
        <f t="shared" si="5"/>
        <v>0</v>
      </c>
      <c r="M35" s="571">
        <f t="shared" si="5"/>
        <v>84081</v>
      </c>
      <c r="N35" s="571">
        <f t="shared" si="5"/>
        <v>421.13</v>
      </c>
      <c r="O35" s="571">
        <f>SUM(O11:O34)</f>
        <v>0</v>
      </c>
      <c r="P35" s="571">
        <f t="shared" si="5"/>
        <v>5159</v>
      </c>
      <c r="Q35" s="571">
        <f t="shared" si="5"/>
        <v>5159</v>
      </c>
      <c r="R35" s="517">
        <f t="shared" si="5"/>
        <v>79343.13</v>
      </c>
      <c r="S35" s="62"/>
      <c r="U35" s="168">
        <f>SUM(U11:U34)</f>
        <v>76914.12999999999</v>
      </c>
    </row>
    <row r="36" spans="1:21" ht="13.5" thickBot="1">
      <c r="B36" s="62"/>
      <c r="C36" s="62"/>
      <c r="D36" s="62"/>
      <c r="E36" s="62"/>
      <c r="F36" s="62"/>
      <c r="G36" s="62"/>
      <c r="H36" s="62"/>
      <c r="I36" s="89"/>
      <c r="J36" s="347"/>
      <c r="K36" s="63"/>
      <c r="L36" s="63"/>
      <c r="M36" s="63"/>
      <c r="N36" s="63"/>
      <c r="O36" s="63"/>
      <c r="P36" s="63"/>
      <c r="Q36" s="63"/>
      <c r="R36" s="90" t="s">
        <v>46</v>
      </c>
      <c r="S36" s="91"/>
    </row>
    <row r="37" spans="1:21" ht="62.25" customHeight="1">
      <c r="B37" s="93"/>
      <c r="C37" s="96"/>
      <c r="D37" s="93"/>
      <c r="E37" s="93"/>
      <c r="F37" s="92"/>
      <c r="G37" s="92"/>
      <c r="H37" s="92"/>
      <c r="I37" s="92"/>
      <c r="J37" s="353"/>
      <c r="K37" s="94"/>
      <c r="L37" s="94"/>
      <c r="M37" s="94"/>
      <c r="N37" s="94"/>
      <c r="O37" s="94"/>
      <c r="P37" s="94"/>
      <c r="Q37" s="94"/>
      <c r="R37" s="94"/>
      <c r="S37" s="62"/>
    </row>
    <row r="38" spans="1:21" ht="51.75" customHeight="1">
      <c r="A38" s="62"/>
      <c r="B38" s="660" t="s">
        <v>644</v>
      </c>
      <c r="C38" s="660"/>
      <c r="D38" s="660"/>
      <c r="E38" s="660"/>
      <c r="F38" s="62"/>
      <c r="G38" s="62"/>
      <c r="H38" s="62"/>
      <c r="I38" s="62"/>
      <c r="J38" s="347"/>
      <c r="K38" s="63"/>
      <c r="L38" s="63"/>
      <c r="M38" s="63"/>
      <c r="N38" s="63"/>
      <c r="O38" s="406"/>
      <c r="P38" s="660" t="s">
        <v>572</v>
      </c>
      <c r="Q38" s="660"/>
      <c r="R38" s="660"/>
      <c r="S38" s="62"/>
    </row>
    <row r="39" spans="1:21" ht="15" customHeight="1">
      <c r="A39" s="62"/>
      <c r="B39" s="615" t="s">
        <v>643</v>
      </c>
      <c r="C39" s="615"/>
      <c r="D39" s="615"/>
      <c r="E39" s="615"/>
      <c r="F39" s="615" t="s">
        <v>146</v>
      </c>
      <c r="G39" s="615"/>
      <c r="H39" s="615"/>
      <c r="I39" s="615"/>
      <c r="J39" s="615"/>
      <c r="K39" s="615"/>
      <c r="L39" s="615"/>
      <c r="M39" s="615"/>
      <c r="N39" s="6"/>
      <c r="O39" s="6"/>
      <c r="P39" s="615" t="s">
        <v>30</v>
      </c>
      <c r="Q39" s="615"/>
      <c r="R39" s="615"/>
      <c r="S39" s="62"/>
    </row>
    <row r="40" spans="1:21">
      <c r="A40" s="62"/>
      <c r="B40" s="62"/>
      <c r="C40" s="62"/>
      <c r="D40" s="62"/>
      <c r="E40" s="62"/>
      <c r="F40" s="62"/>
      <c r="G40" s="62"/>
      <c r="H40" s="62"/>
      <c r="I40" s="62"/>
      <c r="J40" s="347"/>
      <c r="K40" s="63"/>
      <c r="L40" s="63"/>
      <c r="M40" s="63"/>
      <c r="N40" s="63"/>
      <c r="O40" s="63"/>
      <c r="P40" s="63"/>
      <c r="Q40" s="63"/>
      <c r="R40" s="63"/>
      <c r="S40" s="62"/>
    </row>
    <row r="42" spans="1:21">
      <c r="D42" s="47" t="s">
        <v>147</v>
      </c>
      <c r="K42" s="95"/>
      <c r="L42" s="95"/>
      <c r="M42" s="95"/>
      <c r="N42" s="95"/>
      <c r="O42" s="95"/>
      <c r="P42" s="95"/>
      <c r="Q42" s="95"/>
      <c r="R42" s="95"/>
    </row>
    <row r="43" spans="1:21">
      <c r="D43" s="47" t="s">
        <v>148</v>
      </c>
    </row>
    <row r="44" spans="1:21">
      <c r="K44" s="60"/>
      <c r="R44" s="48">
        <f>M35+N35-Q35</f>
        <v>79343.13</v>
      </c>
    </row>
    <row r="45" spans="1:21">
      <c r="M45" s="56"/>
      <c r="R45" s="48">
        <f>R35-R44</f>
        <v>0</v>
      </c>
    </row>
    <row r="52" spans="6:14">
      <c r="F52" s="615"/>
      <c r="G52" s="615"/>
      <c r="H52" s="615"/>
      <c r="I52" s="615"/>
      <c r="J52" s="615"/>
      <c r="K52" s="615"/>
      <c r="L52" s="615"/>
      <c r="M52" s="615"/>
      <c r="N52" s="615"/>
    </row>
  </sheetData>
  <mergeCells count="13">
    <mergeCell ref="F52:N52"/>
    <mergeCell ref="K7:O7"/>
    <mergeCell ref="F39:M39"/>
    <mergeCell ref="F7:H7"/>
    <mergeCell ref="P7:Q7"/>
    <mergeCell ref="B3:S3"/>
    <mergeCell ref="B4:S4"/>
    <mergeCell ref="B39:E39"/>
    <mergeCell ref="P39:R39"/>
    <mergeCell ref="B38:E38"/>
    <mergeCell ref="P38:R38"/>
    <mergeCell ref="S7:S9"/>
    <mergeCell ref="B35:F35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7"/>
  <sheetViews>
    <sheetView workbookViewId="0">
      <selection activeCell="J16" sqref="J16"/>
    </sheetView>
  </sheetViews>
  <sheetFormatPr baseColWidth="10" defaultRowHeight="15"/>
  <cols>
    <col min="1" max="1" width="37.5703125" customWidth="1"/>
    <col min="2" max="2" width="26.28515625" customWidth="1"/>
    <col min="3" max="3" width="17.28515625" customWidth="1"/>
    <col min="4" max="7" width="0" hidden="1" customWidth="1"/>
  </cols>
  <sheetData>
    <row r="2" spans="1:7">
      <c r="A2" s="693" t="s">
        <v>727</v>
      </c>
      <c r="B2" s="693"/>
    </row>
    <row r="3" spans="1:7" ht="7.5" customHeight="1">
      <c r="A3" s="244"/>
      <c r="B3" s="244"/>
    </row>
    <row r="4" spans="1:7">
      <c r="A4" s="692" t="s">
        <v>531</v>
      </c>
      <c r="B4" s="692"/>
    </row>
    <row r="6" spans="1:7" ht="30">
      <c r="A6" s="165" t="s">
        <v>272</v>
      </c>
      <c r="B6" s="165" t="s">
        <v>273</v>
      </c>
      <c r="C6" s="165" t="s">
        <v>274</v>
      </c>
      <c r="D6" s="449" t="s">
        <v>732</v>
      </c>
      <c r="E6" s="232" t="s">
        <v>728</v>
      </c>
      <c r="F6" s="232" t="s">
        <v>729</v>
      </c>
      <c r="G6" s="448" t="s">
        <v>731</v>
      </c>
    </row>
    <row r="7" spans="1:7">
      <c r="A7" s="165"/>
      <c r="B7" s="165"/>
      <c r="C7" s="166"/>
    </row>
    <row r="8" spans="1:7">
      <c r="A8" s="165" t="s">
        <v>555</v>
      </c>
      <c r="B8" s="165" t="s">
        <v>290</v>
      </c>
      <c r="C8" s="166">
        <v>1312.5</v>
      </c>
      <c r="D8" s="446">
        <f>C8*4%</f>
        <v>52.5</v>
      </c>
      <c r="E8" s="446">
        <f>C8+D8</f>
        <v>1365</v>
      </c>
      <c r="F8" s="165">
        <v>200</v>
      </c>
      <c r="G8" s="447">
        <f>E8+F8</f>
        <v>1565</v>
      </c>
    </row>
    <row r="9" spans="1:7">
      <c r="A9" s="165" t="s">
        <v>608</v>
      </c>
      <c r="B9" s="165" t="s">
        <v>609</v>
      </c>
      <c r="C9" s="166">
        <v>1902.6</v>
      </c>
      <c r="D9" s="446">
        <f t="shared" ref="D9:D10" si="0">C9*4%</f>
        <v>76.103999999999999</v>
      </c>
      <c r="E9" s="446">
        <f t="shared" ref="E9:E10" si="1">C9+D9</f>
        <v>1978.704</v>
      </c>
      <c r="F9" s="165"/>
      <c r="G9" s="447">
        <f t="shared" ref="G9:G10" si="2">E9+F9</f>
        <v>1978.704</v>
      </c>
    </row>
    <row r="10" spans="1:7">
      <c r="A10" s="165" t="s">
        <v>668</v>
      </c>
      <c r="B10" s="165" t="s">
        <v>730</v>
      </c>
      <c r="C10" s="166">
        <v>1800</v>
      </c>
      <c r="D10" s="446">
        <f t="shared" si="0"/>
        <v>72</v>
      </c>
      <c r="E10" s="446">
        <f t="shared" si="1"/>
        <v>1872</v>
      </c>
      <c r="F10" s="165"/>
      <c r="G10" s="447">
        <f t="shared" si="2"/>
        <v>1872</v>
      </c>
    </row>
    <row r="11" spans="1:7">
      <c r="C11" s="169">
        <f>SUM(C7:C10)</f>
        <v>5015.1000000000004</v>
      </c>
      <c r="G11" s="219">
        <f>SUM(G8:G10)</f>
        <v>5415.7039999999997</v>
      </c>
    </row>
    <row r="16" spans="1:7" ht="15.75">
      <c r="A16" s="450"/>
    </row>
    <row r="17" spans="1:1" ht="15.75">
      <c r="A17" s="450"/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7"/>
  <sheetViews>
    <sheetView workbookViewId="0">
      <selection activeCell="B2" sqref="B2:K2"/>
    </sheetView>
  </sheetViews>
  <sheetFormatPr baseColWidth="10" defaultColWidth="13.42578125" defaultRowHeight="15"/>
  <cols>
    <col min="1" max="1" width="7" style="151" customWidth="1"/>
    <col min="2" max="2" width="12.28515625" style="151" customWidth="1"/>
    <col min="3" max="3" width="28.140625" style="151" customWidth="1"/>
    <col min="4" max="4" width="16.42578125" style="151" customWidth="1"/>
    <col min="5" max="5" width="0.28515625" style="151" customWidth="1"/>
    <col min="6" max="6" width="13.42578125" style="151"/>
    <col min="7" max="7" width="15.85546875" style="151" customWidth="1"/>
    <col min="8" max="8" width="9.28515625" style="151" bestFit="1" customWidth="1"/>
    <col min="9" max="9" width="13.42578125" style="151"/>
    <col min="10" max="10" width="10.140625" style="151" bestFit="1" customWidth="1"/>
    <col min="11" max="11" width="28.5703125" style="151" customWidth="1"/>
    <col min="12" max="12" width="15.140625" style="151" customWidth="1"/>
    <col min="13" max="14" width="13.42578125" style="438"/>
    <col min="15" max="16384" width="13.42578125" style="151"/>
  </cols>
  <sheetData>
    <row r="1" spans="2:15">
      <c r="B1" s="35"/>
      <c r="C1" s="621"/>
      <c r="D1" s="622"/>
      <c r="E1" s="622"/>
      <c r="F1" s="622"/>
      <c r="G1" s="622"/>
      <c r="H1" s="23"/>
      <c r="I1" s="23"/>
      <c r="J1" s="23"/>
      <c r="K1" s="23"/>
      <c r="L1" s="15"/>
    </row>
    <row r="2" spans="2:15" ht="19.5">
      <c r="B2" s="623" t="s">
        <v>206</v>
      </c>
      <c r="C2" s="624"/>
      <c r="D2" s="624"/>
      <c r="E2" s="624"/>
      <c r="F2" s="624"/>
      <c r="G2" s="624"/>
      <c r="H2" s="624"/>
      <c r="I2" s="624"/>
      <c r="J2" s="624"/>
      <c r="K2" s="625"/>
      <c r="L2" s="435"/>
    </row>
    <row r="3" spans="2:15">
      <c r="B3" s="626" t="s">
        <v>788</v>
      </c>
      <c r="C3" s="627"/>
      <c r="D3" s="627"/>
      <c r="E3" s="627"/>
      <c r="F3" s="627"/>
      <c r="G3" s="627"/>
      <c r="H3" s="627"/>
      <c r="I3" s="627"/>
      <c r="J3" s="627"/>
      <c r="K3" s="628"/>
      <c r="L3" s="425"/>
    </row>
    <row r="4" spans="2:15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26"/>
      <c r="L4" s="15"/>
    </row>
    <row r="5" spans="2:15">
      <c r="B5" s="37"/>
      <c r="C5" s="38"/>
      <c r="D5" s="38"/>
      <c r="E5" s="38"/>
      <c r="F5" s="38"/>
      <c r="G5" s="38"/>
      <c r="H5" s="38"/>
      <c r="I5" s="38"/>
      <c r="J5" s="38"/>
      <c r="K5" s="27"/>
      <c r="L5" s="15"/>
    </row>
    <row r="6" spans="2:15" ht="36.75" customHeight="1">
      <c r="B6" s="505" t="s">
        <v>1</v>
      </c>
      <c r="C6" s="454" t="s">
        <v>2</v>
      </c>
      <c r="D6" s="454" t="s">
        <v>219</v>
      </c>
      <c r="E6" s="454" t="s">
        <v>4</v>
      </c>
      <c r="F6" s="454" t="s">
        <v>5</v>
      </c>
      <c r="G6" s="454" t="s">
        <v>44</v>
      </c>
      <c r="H6" s="454" t="s">
        <v>43</v>
      </c>
      <c r="I6" s="506" t="s">
        <v>6</v>
      </c>
      <c r="J6" s="456" t="s">
        <v>7</v>
      </c>
      <c r="K6" s="507" t="s">
        <v>29</v>
      </c>
      <c r="L6" s="436"/>
    </row>
    <row r="7" spans="2:15">
      <c r="B7" s="42" t="s">
        <v>710</v>
      </c>
      <c r="C7" s="15"/>
      <c r="D7" s="15"/>
      <c r="E7" s="15"/>
      <c r="F7" s="15"/>
      <c r="G7" s="15"/>
      <c r="H7" s="15"/>
      <c r="I7" s="15"/>
      <c r="J7" s="15"/>
      <c r="K7" s="26"/>
      <c r="L7" s="15"/>
      <c r="O7" s="153"/>
    </row>
    <row r="8" spans="2:15" ht="39.950000000000003" customHeight="1">
      <c r="B8" s="154" t="s">
        <v>260</v>
      </c>
      <c r="C8" s="3" t="s">
        <v>558</v>
      </c>
      <c r="D8" s="426" t="s">
        <v>245</v>
      </c>
      <c r="E8" s="9">
        <v>0</v>
      </c>
      <c r="F8" s="9">
        <v>3728</v>
      </c>
      <c r="G8" s="9">
        <v>0</v>
      </c>
      <c r="H8" s="9"/>
      <c r="I8" s="9">
        <f>H8</f>
        <v>0</v>
      </c>
      <c r="J8" s="9">
        <f>F8+G8-H8</f>
        <v>3728</v>
      </c>
      <c r="K8" s="3"/>
      <c r="L8" s="15" t="s">
        <v>714</v>
      </c>
      <c r="M8" s="438">
        <v>685.34</v>
      </c>
      <c r="O8" s="153">
        <v>3585</v>
      </c>
    </row>
    <row r="9" spans="2:15" ht="39.950000000000003" customHeight="1">
      <c r="B9" s="154" t="s">
        <v>261</v>
      </c>
      <c r="C9" s="3" t="s">
        <v>250</v>
      </c>
      <c r="D9" s="9" t="s">
        <v>239</v>
      </c>
      <c r="E9" s="9">
        <v>0</v>
      </c>
      <c r="F9" s="9">
        <v>2470</v>
      </c>
      <c r="G9" s="9">
        <v>0</v>
      </c>
      <c r="H9" s="9"/>
      <c r="I9" s="9">
        <f t="shared" ref="I9:I12" si="0">H9</f>
        <v>0</v>
      </c>
      <c r="J9" s="9">
        <f t="shared" ref="J9" si="1">F9+G9-H9</f>
        <v>2470</v>
      </c>
      <c r="K9" s="3"/>
      <c r="L9" s="15" t="s">
        <v>714</v>
      </c>
      <c r="M9" s="438">
        <v>479.68</v>
      </c>
      <c r="O9" s="153">
        <v>2375</v>
      </c>
    </row>
    <row r="10" spans="2:15" ht="15" customHeight="1">
      <c r="B10" s="427"/>
      <c r="C10" s="695" t="s">
        <v>712</v>
      </c>
      <c r="D10" s="695"/>
      <c r="E10" s="432"/>
      <c r="F10" s="432">
        <f>SUM(F8:F9)</f>
        <v>6198</v>
      </c>
      <c r="G10" s="432">
        <f>SUM(G8:G9)</f>
        <v>0</v>
      </c>
      <c r="H10" s="432"/>
      <c r="I10" s="432">
        <f>SUM(I8:I9)</f>
        <v>0</v>
      </c>
      <c r="J10" s="432">
        <f>SUM(J8:J9)</f>
        <v>6198</v>
      </c>
      <c r="K10" s="575"/>
      <c r="L10" s="15"/>
      <c r="N10" s="440">
        <f>M12/15</f>
        <v>149.4</v>
      </c>
      <c r="O10" s="153"/>
    </row>
    <row r="11" spans="2:15" ht="15" customHeight="1">
      <c r="B11" s="694" t="s">
        <v>711</v>
      </c>
      <c r="C11" s="694"/>
      <c r="D11" s="255"/>
      <c r="E11" s="255"/>
      <c r="F11" s="255"/>
      <c r="G11" s="255"/>
      <c r="H11" s="255"/>
      <c r="I11" s="255"/>
      <c r="J11" s="255"/>
      <c r="K11" s="15"/>
      <c r="L11" s="15"/>
      <c r="M11" s="439"/>
      <c r="N11" s="440">
        <f>N10*3</f>
        <v>448.20000000000005</v>
      </c>
      <c r="O11" s="428"/>
    </row>
    <row r="12" spans="2:15" s="366" customFormat="1" ht="39.950000000000003" customHeight="1">
      <c r="B12" s="362" t="s">
        <v>262</v>
      </c>
      <c r="C12" s="363" t="s">
        <v>412</v>
      </c>
      <c r="D12" s="306" t="s">
        <v>241</v>
      </c>
      <c r="E12" s="306">
        <v>0</v>
      </c>
      <c r="F12" s="306">
        <v>2098</v>
      </c>
      <c r="G12" s="306">
        <v>0</v>
      </c>
      <c r="H12" s="306"/>
      <c r="I12" s="306">
        <f t="shared" si="0"/>
        <v>0</v>
      </c>
      <c r="J12" s="306">
        <f>F12</f>
        <v>2098</v>
      </c>
      <c r="K12" s="363"/>
      <c r="L12" s="122" t="s">
        <v>715</v>
      </c>
      <c r="M12" s="440">
        <v>2241</v>
      </c>
      <c r="N12" s="438">
        <f>N11*100%*90%</f>
        <v>403.38000000000005</v>
      </c>
      <c r="O12" s="367">
        <v>2016.9</v>
      </c>
    </row>
    <row r="13" spans="2:15" ht="39.950000000000003" customHeight="1">
      <c r="B13" s="154" t="s">
        <v>263</v>
      </c>
      <c r="C13" s="3" t="s">
        <v>713</v>
      </c>
      <c r="D13" s="437" t="s">
        <v>717</v>
      </c>
      <c r="E13" s="9"/>
      <c r="F13" s="9">
        <v>2881</v>
      </c>
      <c r="G13" s="9">
        <v>0</v>
      </c>
      <c r="H13" s="9"/>
      <c r="I13" s="9">
        <v>0</v>
      </c>
      <c r="J13" s="9">
        <f>F13</f>
        <v>2881</v>
      </c>
      <c r="K13" s="3"/>
      <c r="L13" s="15" t="s">
        <v>716</v>
      </c>
      <c r="M13" s="438">
        <v>4621</v>
      </c>
      <c r="N13" s="438">
        <f>M13*100%*60%</f>
        <v>2772.6</v>
      </c>
      <c r="O13" s="153">
        <v>2770.6</v>
      </c>
    </row>
    <row r="14" spans="2:15" s="366" customFormat="1" ht="15" customHeight="1">
      <c r="B14" s="429"/>
      <c r="C14" s="696" t="s">
        <v>712</v>
      </c>
      <c r="D14" s="696"/>
      <c r="E14" s="431"/>
      <c r="F14" s="431">
        <f>SUM(F12:F13)</f>
        <v>4979</v>
      </c>
      <c r="G14" s="431">
        <f>SUM(G12)</f>
        <v>0</v>
      </c>
      <c r="H14" s="431"/>
      <c r="I14" s="431">
        <f>SUM(I12)</f>
        <v>0</v>
      </c>
      <c r="J14" s="431">
        <f>SUM(J12:J13)</f>
        <v>4979</v>
      </c>
      <c r="K14" s="574"/>
      <c r="L14" s="122"/>
      <c r="M14" s="440"/>
      <c r="O14" s="367"/>
    </row>
    <row r="15" spans="2:15" s="366" customFormat="1" ht="15" customHeight="1">
      <c r="B15" s="429"/>
      <c r="C15" s="122"/>
      <c r="D15" s="430"/>
      <c r="E15" s="430"/>
      <c r="F15" s="430"/>
      <c r="G15" s="430"/>
      <c r="H15" s="430"/>
      <c r="I15" s="430"/>
      <c r="J15" s="430"/>
      <c r="K15" s="122"/>
      <c r="L15" s="122"/>
      <c r="M15" s="440"/>
      <c r="O15" s="367"/>
    </row>
    <row r="16" spans="2:15" ht="15.75" thickBot="1">
      <c r="B16" s="159"/>
      <c r="C16" s="511" t="s">
        <v>45</v>
      </c>
      <c r="D16" s="512"/>
      <c r="E16" s="512">
        <f>SUM(E8:E12)</f>
        <v>0</v>
      </c>
      <c r="F16" s="512">
        <f>SUM(F10+F14)</f>
        <v>11177</v>
      </c>
      <c r="G16" s="512">
        <f>SUM(G8:G12)</f>
        <v>0</v>
      </c>
      <c r="H16" s="512">
        <f>SUM(H8:H12)</f>
        <v>0</v>
      </c>
      <c r="I16" s="512">
        <f>SUM(I8:I12)</f>
        <v>0</v>
      </c>
      <c r="J16" s="211">
        <f>SUM(J10+J14)</f>
        <v>11177</v>
      </c>
      <c r="K16" s="21"/>
      <c r="L16" s="21"/>
      <c r="N16" s="151"/>
      <c r="O16" s="153"/>
    </row>
    <row r="17" spans="2:19" ht="15.75" thickTop="1">
      <c r="J17" s="160" t="s">
        <v>46</v>
      </c>
      <c r="O17" s="153"/>
    </row>
    <row r="18" spans="2:19">
      <c r="O18" s="153"/>
      <c r="R18" s="156">
        <v>81333.070000000007</v>
      </c>
      <c r="S18" s="151" t="s">
        <v>217</v>
      </c>
    </row>
    <row r="19" spans="2:19">
      <c r="E19" s="164"/>
      <c r="F19" s="164"/>
      <c r="G19" s="164"/>
      <c r="H19" s="164"/>
      <c r="J19" s="164"/>
      <c r="K19" s="164"/>
      <c r="M19" s="439"/>
      <c r="O19" s="153"/>
      <c r="R19" s="156">
        <v>53056.03</v>
      </c>
      <c r="S19" s="151" t="s">
        <v>218</v>
      </c>
    </row>
    <row r="20" spans="2:19">
      <c r="B20" s="614" t="s">
        <v>708</v>
      </c>
      <c r="C20" s="614"/>
      <c r="E20" s="615" t="s">
        <v>765</v>
      </c>
      <c r="F20" s="615"/>
      <c r="G20" s="615"/>
      <c r="H20" s="615"/>
      <c r="J20" s="615" t="s">
        <v>572</v>
      </c>
      <c r="K20" s="615"/>
      <c r="L20" s="406"/>
      <c r="M20" s="441"/>
      <c r="O20" s="98"/>
      <c r="P20" s="98"/>
      <c r="R20" s="157"/>
    </row>
    <row r="21" spans="2:19">
      <c r="B21" s="615" t="s">
        <v>145</v>
      </c>
      <c r="C21" s="615"/>
      <c r="E21" s="615" t="s">
        <v>146</v>
      </c>
      <c r="F21" s="615"/>
      <c r="G21" s="615"/>
      <c r="H21" s="615"/>
      <c r="J21" s="615" t="s">
        <v>30</v>
      </c>
      <c r="K21" s="615"/>
      <c r="L21" s="406"/>
      <c r="M21" s="442"/>
      <c r="O21" s="6"/>
      <c r="P21" s="6"/>
    </row>
    <row r="22" spans="2:19">
      <c r="O22" s="153"/>
    </row>
    <row r="23" spans="2:19">
      <c r="J23" s="258">
        <f>F16+G16-H16</f>
        <v>11177</v>
      </c>
      <c r="O23" s="153"/>
      <c r="R23" s="156">
        <v>96237.05</v>
      </c>
      <c r="S23" s="151" t="s">
        <v>208</v>
      </c>
    </row>
    <row r="24" spans="2:19">
      <c r="J24" s="258">
        <f>J16-J23</f>
        <v>0</v>
      </c>
      <c r="O24" s="153"/>
    </row>
    <row r="25" spans="2:19">
      <c r="O25" s="153"/>
      <c r="R25" s="156">
        <v>103878.79</v>
      </c>
      <c r="S25" s="151" t="s">
        <v>215</v>
      </c>
    </row>
    <row r="26" spans="2:19">
      <c r="O26" s="153"/>
    </row>
    <row r="27" spans="2:19">
      <c r="O27" s="153"/>
      <c r="R27" s="156">
        <v>128320</v>
      </c>
      <c r="S27" s="151" t="s">
        <v>256</v>
      </c>
    </row>
    <row r="28" spans="2:19">
      <c r="O28" s="161"/>
      <c r="R28" s="162">
        <f>SUM(R16:R27)</f>
        <v>462824.94</v>
      </c>
      <c r="S28" s="151" t="s">
        <v>257</v>
      </c>
    </row>
    <row r="29" spans="2:19">
      <c r="O29" s="161"/>
    </row>
    <row r="30" spans="2:19">
      <c r="O30" s="161"/>
    </row>
    <row r="31" spans="2:19">
      <c r="O31" s="161"/>
    </row>
    <row r="32" spans="2:19">
      <c r="O32" s="161"/>
    </row>
    <row r="33" spans="15:15">
      <c r="O33" s="161"/>
    </row>
    <row r="34" spans="15:15">
      <c r="O34" s="161"/>
    </row>
    <row r="35" spans="15:15">
      <c r="O35" s="161"/>
    </row>
    <row r="36" spans="15:15">
      <c r="O36" s="161"/>
    </row>
    <row r="37" spans="15:15">
      <c r="O37" s="161"/>
    </row>
  </sheetData>
  <mergeCells count="12">
    <mergeCell ref="B21:C21"/>
    <mergeCell ref="E21:H21"/>
    <mergeCell ref="J21:K21"/>
    <mergeCell ref="B11:C11"/>
    <mergeCell ref="C10:D10"/>
    <mergeCell ref="C14:D14"/>
    <mergeCell ref="C1:G1"/>
    <mergeCell ref="B2:K2"/>
    <mergeCell ref="B3:K3"/>
    <mergeCell ref="B20:C20"/>
    <mergeCell ref="E20:H20"/>
    <mergeCell ref="J20:K20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35"/>
  <sheetViews>
    <sheetView workbookViewId="0">
      <selection activeCell="H23" sqref="H23"/>
    </sheetView>
  </sheetViews>
  <sheetFormatPr baseColWidth="10" defaultColWidth="13.42578125" defaultRowHeight="15"/>
  <cols>
    <col min="1" max="1" width="7" style="151" customWidth="1"/>
    <col min="2" max="2" width="12.28515625" style="151" customWidth="1"/>
    <col min="3" max="3" width="28.140625" style="151" customWidth="1"/>
    <col min="4" max="4" width="9.28515625" style="151" customWidth="1"/>
    <col min="5" max="5" width="12.7109375" style="151" customWidth="1"/>
    <col min="6" max="6" width="0" style="151" hidden="1" customWidth="1"/>
    <col min="7" max="8" width="13.42578125" style="151"/>
    <col min="9" max="9" width="12.5703125" style="151" customWidth="1"/>
    <col min="10" max="10" width="13.42578125" style="151"/>
    <col min="11" max="11" width="10.140625" style="151" bestFit="1" customWidth="1"/>
    <col min="12" max="12" width="28.5703125" style="151" customWidth="1"/>
    <col min="13" max="16384" width="13.42578125" style="151"/>
  </cols>
  <sheetData>
    <row r="1" spans="2:19">
      <c r="B1" s="35"/>
      <c r="C1" s="621"/>
      <c r="D1" s="622"/>
      <c r="E1" s="622"/>
      <c r="F1" s="622"/>
      <c r="G1" s="622"/>
      <c r="H1" s="622"/>
      <c r="I1" s="23"/>
      <c r="J1" s="23"/>
      <c r="K1" s="23"/>
      <c r="L1" s="23"/>
    </row>
    <row r="2" spans="2:19" ht="19.5">
      <c r="B2" s="623" t="s">
        <v>206</v>
      </c>
      <c r="C2" s="624"/>
      <c r="D2" s="624"/>
      <c r="E2" s="624"/>
      <c r="F2" s="624"/>
      <c r="G2" s="624"/>
      <c r="H2" s="624"/>
      <c r="I2" s="624"/>
      <c r="J2" s="624"/>
      <c r="K2" s="624"/>
      <c r="L2" s="625"/>
    </row>
    <row r="3" spans="2:19">
      <c r="B3" s="626" t="s">
        <v>788</v>
      </c>
      <c r="C3" s="627"/>
      <c r="D3" s="627"/>
      <c r="E3" s="627"/>
      <c r="F3" s="627"/>
      <c r="G3" s="627"/>
      <c r="H3" s="627"/>
      <c r="I3" s="627"/>
      <c r="J3" s="627"/>
      <c r="K3" s="627"/>
      <c r="L3" s="628"/>
    </row>
    <row r="4" spans="2:19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15"/>
      <c r="L4" s="26"/>
    </row>
    <row r="5" spans="2:19">
      <c r="B5" s="37"/>
      <c r="C5" s="38"/>
      <c r="D5" s="38"/>
      <c r="E5" s="38"/>
      <c r="F5" s="38"/>
      <c r="G5" s="38"/>
      <c r="H5" s="38"/>
      <c r="I5" s="38"/>
      <c r="J5" s="38"/>
      <c r="K5" s="38"/>
      <c r="L5" s="27"/>
    </row>
    <row r="6" spans="2:19" ht="33.75">
      <c r="B6" s="505" t="s">
        <v>1</v>
      </c>
      <c r="C6" s="699" t="s">
        <v>2</v>
      </c>
      <c r="D6" s="700"/>
      <c r="E6" s="454" t="s">
        <v>219</v>
      </c>
      <c r="F6" s="454" t="s">
        <v>4</v>
      </c>
      <c r="G6" s="454" t="s">
        <v>5</v>
      </c>
      <c r="H6" s="454" t="s">
        <v>44</v>
      </c>
      <c r="I6" s="454" t="s">
        <v>43</v>
      </c>
      <c r="J6" s="454" t="s">
        <v>6</v>
      </c>
      <c r="K6" s="454" t="s">
        <v>7</v>
      </c>
      <c r="L6" s="455" t="s">
        <v>29</v>
      </c>
    </row>
    <row r="7" spans="2:19">
      <c r="B7" s="42" t="s">
        <v>351</v>
      </c>
      <c r="C7" s="15"/>
      <c r="D7" s="15"/>
      <c r="E7" s="15"/>
      <c r="F7" s="15"/>
      <c r="G7" s="15"/>
      <c r="H7" s="15"/>
      <c r="I7" s="15"/>
      <c r="J7" s="15"/>
      <c r="K7" s="15"/>
      <c r="L7" s="152"/>
      <c r="O7" s="153"/>
    </row>
    <row r="8" spans="2:19" ht="39.950000000000003" customHeight="1">
      <c r="B8" s="154" t="s">
        <v>260</v>
      </c>
      <c r="C8" s="617" t="s">
        <v>344</v>
      </c>
      <c r="D8" s="618"/>
      <c r="E8" s="9" t="s">
        <v>222</v>
      </c>
      <c r="F8" s="9">
        <v>0</v>
      </c>
      <c r="G8" s="9">
        <v>4046</v>
      </c>
      <c r="H8" s="9">
        <v>0</v>
      </c>
      <c r="I8" s="9"/>
      <c r="J8" s="9">
        <f>I8</f>
        <v>0</v>
      </c>
      <c r="K8" s="155">
        <f>G8+H8-I8</f>
        <v>4046</v>
      </c>
      <c r="L8" s="152"/>
      <c r="O8" s="153"/>
    </row>
    <row r="9" spans="2:19" s="366" customFormat="1" ht="39.950000000000003" customHeight="1">
      <c r="B9" s="362" t="s">
        <v>261</v>
      </c>
      <c r="C9" s="697" t="s">
        <v>345</v>
      </c>
      <c r="D9" s="698"/>
      <c r="E9" s="306" t="s">
        <v>231</v>
      </c>
      <c r="F9" s="306">
        <v>0</v>
      </c>
      <c r="G9" s="306">
        <v>4830</v>
      </c>
      <c r="H9" s="306">
        <v>0</v>
      </c>
      <c r="I9" s="306"/>
      <c r="J9" s="306">
        <f t="shared" ref="J9:J13" si="0">I9</f>
        <v>0</v>
      </c>
      <c r="K9" s="364">
        <f>G9</f>
        <v>4830</v>
      </c>
      <c r="L9" s="365"/>
      <c r="O9" s="367"/>
    </row>
    <row r="10" spans="2:19" ht="39.950000000000003" customHeight="1">
      <c r="B10" s="154" t="s">
        <v>262</v>
      </c>
      <c r="C10" s="617" t="s">
        <v>346</v>
      </c>
      <c r="D10" s="618"/>
      <c r="E10" s="9" t="s">
        <v>239</v>
      </c>
      <c r="F10" s="9">
        <v>0</v>
      </c>
      <c r="G10" s="9">
        <v>2711</v>
      </c>
      <c r="H10" s="9">
        <v>0</v>
      </c>
      <c r="I10" s="9"/>
      <c r="J10" s="9">
        <f t="shared" si="0"/>
        <v>0</v>
      </c>
      <c r="K10" s="155">
        <f t="shared" ref="K10:K11" si="1">G10+H10-I10</f>
        <v>2711</v>
      </c>
      <c r="L10" s="120"/>
      <c r="O10" s="153"/>
    </row>
    <row r="11" spans="2:19" ht="39.950000000000003" customHeight="1">
      <c r="B11" s="154" t="s">
        <v>263</v>
      </c>
      <c r="C11" s="617" t="s">
        <v>347</v>
      </c>
      <c r="D11" s="618"/>
      <c r="E11" s="9" t="s">
        <v>239</v>
      </c>
      <c r="F11" s="9">
        <v>0</v>
      </c>
      <c r="G11" s="9">
        <v>3694</v>
      </c>
      <c r="H11" s="9">
        <v>0</v>
      </c>
      <c r="I11" s="9"/>
      <c r="J11" s="9">
        <f t="shared" si="0"/>
        <v>0</v>
      </c>
      <c r="K11" s="155">
        <f t="shared" si="1"/>
        <v>3694</v>
      </c>
      <c r="L11" s="120"/>
      <c r="O11" s="153"/>
    </row>
    <row r="12" spans="2:19" ht="39.950000000000003" customHeight="1">
      <c r="B12" s="154" t="s">
        <v>264</v>
      </c>
      <c r="C12" s="617" t="s">
        <v>348</v>
      </c>
      <c r="D12" s="618"/>
      <c r="E12" s="9" t="s">
        <v>349</v>
      </c>
      <c r="F12" s="9">
        <v>0</v>
      </c>
      <c r="G12" s="9">
        <v>5686</v>
      </c>
      <c r="H12" s="9">
        <v>0</v>
      </c>
      <c r="I12" s="9"/>
      <c r="J12" s="9">
        <f t="shared" si="0"/>
        <v>0</v>
      </c>
      <c r="K12" s="155">
        <f>G12</f>
        <v>5686</v>
      </c>
      <c r="L12" s="120"/>
      <c r="O12" s="153"/>
    </row>
    <row r="13" spans="2:19" ht="39.950000000000003" customHeight="1">
      <c r="B13" s="154" t="s">
        <v>265</v>
      </c>
      <c r="C13" s="617" t="s">
        <v>350</v>
      </c>
      <c r="D13" s="618"/>
      <c r="E13" s="9" t="s">
        <v>239</v>
      </c>
      <c r="F13" s="9">
        <v>0</v>
      </c>
      <c r="G13" s="9">
        <v>2640</v>
      </c>
      <c r="H13" s="9">
        <v>0</v>
      </c>
      <c r="I13" s="9"/>
      <c r="J13" s="9">
        <f t="shared" si="0"/>
        <v>0</v>
      </c>
      <c r="K13" s="155">
        <f>G13+H13-I13</f>
        <v>2640</v>
      </c>
      <c r="L13" s="3"/>
      <c r="O13" s="153"/>
    </row>
    <row r="14" spans="2:19" ht="15.75" thickBot="1">
      <c r="B14" s="159"/>
      <c r="C14" s="511" t="s">
        <v>45</v>
      </c>
      <c r="D14" s="512">
        <f>SUM(D8:D13)</f>
        <v>0</v>
      </c>
      <c r="E14" s="512"/>
      <c r="F14" s="512">
        <f t="shared" ref="F14:J14" si="2">SUM(F8:F13)</f>
        <v>0</v>
      </c>
      <c r="G14" s="512">
        <f>SUM(G8:G13)</f>
        <v>23607</v>
      </c>
      <c r="H14" s="512">
        <f t="shared" si="2"/>
        <v>0</v>
      </c>
      <c r="I14" s="512">
        <f t="shared" si="2"/>
        <v>0</v>
      </c>
      <c r="J14" s="512">
        <f t="shared" si="2"/>
        <v>0</v>
      </c>
      <c r="K14" s="211">
        <f>SUM(K8:K13)</f>
        <v>23607</v>
      </c>
      <c r="L14" s="548"/>
      <c r="O14" s="153"/>
    </row>
    <row r="15" spans="2:19" ht="15.75" thickTop="1">
      <c r="K15" s="160" t="s">
        <v>46</v>
      </c>
      <c r="O15" s="153"/>
    </row>
    <row r="16" spans="2:19">
      <c r="O16" s="153"/>
      <c r="R16" s="156">
        <v>81333.070000000007</v>
      </c>
      <c r="S16" s="151" t="s">
        <v>217</v>
      </c>
    </row>
    <row r="17" spans="2:19">
      <c r="F17" s="164"/>
      <c r="G17" s="164"/>
      <c r="H17" s="164"/>
      <c r="I17" s="164"/>
      <c r="K17" s="164"/>
      <c r="L17" s="164"/>
      <c r="O17" s="153"/>
      <c r="R17" s="156">
        <v>53056.03</v>
      </c>
      <c r="S17" s="151" t="s">
        <v>218</v>
      </c>
    </row>
    <row r="18" spans="2:19">
      <c r="B18" s="614" t="s">
        <v>708</v>
      </c>
      <c r="C18" s="614"/>
      <c r="D18" s="163"/>
      <c r="F18" s="615" t="s">
        <v>765</v>
      </c>
      <c r="G18" s="615"/>
      <c r="H18" s="615"/>
      <c r="I18" s="615"/>
      <c r="K18" s="615" t="s">
        <v>572</v>
      </c>
      <c r="L18" s="615"/>
      <c r="M18" s="6"/>
      <c r="O18" s="98"/>
      <c r="P18" s="98"/>
      <c r="R18" s="157"/>
    </row>
    <row r="19" spans="2:19">
      <c r="B19" s="615" t="s">
        <v>145</v>
      </c>
      <c r="C19" s="615"/>
      <c r="D19" s="6"/>
      <c r="F19" s="615" t="s">
        <v>146</v>
      </c>
      <c r="G19" s="615"/>
      <c r="H19" s="615"/>
      <c r="I19" s="615"/>
      <c r="K19" s="615" t="s">
        <v>30</v>
      </c>
      <c r="L19" s="615"/>
      <c r="M19" s="6"/>
      <c r="O19" s="6"/>
      <c r="P19" s="6"/>
    </row>
    <row r="20" spans="2:19">
      <c r="O20" s="153"/>
    </row>
    <row r="21" spans="2:19">
      <c r="K21" s="258">
        <f>G14+H14-I14</f>
        <v>23607</v>
      </c>
      <c r="O21" s="153"/>
      <c r="R21" s="156">
        <v>96237.05</v>
      </c>
      <c r="S21" s="151" t="s">
        <v>208</v>
      </c>
    </row>
    <row r="22" spans="2:19">
      <c r="K22" s="258">
        <f>K14-K21</f>
        <v>0</v>
      </c>
      <c r="O22" s="153"/>
    </row>
    <row r="23" spans="2:19">
      <c r="O23" s="153"/>
      <c r="R23" s="156">
        <v>103878.79</v>
      </c>
      <c r="S23" s="151" t="s">
        <v>215</v>
      </c>
    </row>
    <row r="24" spans="2:19">
      <c r="O24" s="153"/>
    </row>
    <row r="25" spans="2:19">
      <c r="O25" s="153"/>
      <c r="R25" s="156">
        <v>128320</v>
      </c>
      <c r="S25" s="151" t="s">
        <v>256</v>
      </c>
    </row>
    <row r="26" spans="2:19">
      <c r="O26" s="161"/>
      <c r="R26" s="162">
        <f>SUM(R14:R25)</f>
        <v>462824.94</v>
      </c>
      <c r="S26" s="151" t="s">
        <v>257</v>
      </c>
    </row>
    <row r="27" spans="2:19">
      <c r="O27" s="161"/>
    </row>
    <row r="28" spans="2:19">
      <c r="O28" s="161"/>
    </row>
    <row r="29" spans="2:19">
      <c r="O29" s="161"/>
    </row>
    <row r="30" spans="2:19">
      <c r="O30" s="161"/>
    </row>
    <row r="31" spans="2:19">
      <c r="O31" s="161"/>
    </row>
    <row r="32" spans="2:19">
      <c r="O32" s="161"/>
    </row>
    <row r="33" spans="15:15">
      <c r="O33" s="161"/>
    </row>
    <row r="34" spans="15:15">
      <c r="O34" s="161"/>
    </row>
    <row r="35" spans="15:15">
      <c r="O35" s="161"/>
    </row>
  </sheetData>
  <mergeCells count="16">
    <mergeCell ref="B19:C19"/>
    <mergeCell ref="F19:I19"/>
    <mergeCell ref="K19:L19"/>
    <mergeCell ref="C1:H1"/>
    <mergeCell ref="B2:L2"/>
    <mergeCell ref="B3:L3"/>
    <mergeCell ref="B18:C18"/>
    <mergeCell ref="F18:I18"/>
    <mergeCell ref="K18:L18"/>
    <mergeCell ref="C8:D8"/>
    <mergeCell ref="C9:D9"/>
    <mergeCell ref="C10:D10"/>
    <mergeCell ref="C11:D11"/>
    <mergeCell ref="C12:D12"/>
    <mergeCell ref="C13:D13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79"/>
  <sheetViews>
    <sheetView topLeftCell="A55" zoomScale="91" zoomScaleNormal="91" workbookViewId="0">
      <selection activeCell="E81" sqref="E81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8.42578125" hidden="1" customWidth="1"/>
    <col min="8" max="8" width="0.28515625" style="354" customWidth="1"/>
    <col min="9" max="9" width="16.28515625" style="233" customWidth="1"/>
    <col min="10" max="10" width="20.28515625" style="233" customWidth="1"/>
    <col min="11" max="11" width="13" style="233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701" t="s">
        <v>540</v>
      </c>
      <c r="D2" s="701"/>
      <c r="E2" s="701"/>
      <c r="F2" s="701"/>
      <c r="G2" s="701"/>
      <c r="H2" s="701"/>
      <c r="I2" s="701"/>
      <c r="J2" s="701"/>
      <c r="K2" s="701"/>
      <c r="L2" s="701"/>
    </row>
    <row r="3" spans="2:14" ht="18.75">
      <c r="C3" s="701" t="s">
        <v>557</v>
      </c>
      <c r="D3" s="701"/>
      <c r="E3" s="701"/>
      <c r="F3" s="701"/>
      <c r="G3" s="701"/>
      <c r="H3" s="701"/>
      <c r="I3" s="701"/>
      <c r="J3" s="701"/>
      <c r="K3" s="701"/>
      <c r="L3" s="701"/>
    </row>
    <row r="4" spans="2:14" ht="8.25" customHeight="1">
      <c r="C4" s="234"/>
      <c r="D4" s="234"/>
      <c r="E4" s="234"/>
      <c r="F4" s="234"/>
      <c r="G4" s="235"/>
      <c r="H4" s="355"/>
      <c r="I4" s="281"/>
      <c r="J4" s="281"/>
    </row>
    <row r="5" spans="2:14" ht="18.75">
      <c r="C5" s="235"/>
      <c r="D5" s="701" t="s">
        <v>789</v>
      </c>
      <c r="E5" s="701"/>
      <c r="F5" s="701"/>
      <c r="G5" s="701"/>
      <c r="H5" s="701"/>
      <c r="I5" s="701"/>
      <c r="J5" s="701"/>
      <c r="K5" s="236"/>
      <c r="L5" s="237"/>
    </row>
    <row r="7" spans="2:14" ht="28.5" customHeight="1">
      <c r="B7" s="508"/>
      <c r="C7" s="509" t="s">
        <v>272</v>
      </c>
      <c r="D7" s="509" t="s">
        <v>52</v>
      </c>
      <c r="E7" s="509" t="s">
        <v>445</v>
      </c>
      <c r="F7" s="509" t="s">
        <v>446</v>
      </c>
      <c r="G7" s="509"/>
      <c r="H7" s="510"/>
      <c r="I7" s="510" t="s">
        <v>274</v>
      </c>
      <c r="J7" s="510" t="s">
        <v>567</v>
      </c>
      <c r="K7" s="510" t="s">
        <v>513</v>
      </c>
      <c r="L7" s="509" t="s">
        <v>29</v>
      </c>
    </row>
    <row r="9" spans="2:14" ht="30" customHeight="1">
      <c r="B9" s="165">
        <v>1</v>
      </c>
      <c r="C9" s="165" t="s">
        <v>278</v>
      </c>
      <c r="D9" s="165" t="s">
        <v>447</v>
      </c>
      <c r="E9" s="165" t="s">
        <v>448</v>
      </c>
      <c r="F9" s="165" t="s">
        <v>449</v>
      </c>
      <c r="G9" s="165">
        <f>G5</f>
        <v>0</v>
      </c>
      <c r="H9" s="356">
        <f>5174/2</f>
        <v>2587</v>
      </c>
      <c r="I9" s="282">
        <v>2690</v>
      </c>
      <c r="J9" s="280"/>
      <c r="K9" s="238">
        <f>I9-J9</f>
        <v>2690</v>
      </c>
      <c r="L9" s="165"/>
    </row>
    <row r="10" spans="2:14" ht="30" customHeight="1">
      <c r="B10" s="165">
        <f>B9+1</f>
        <v>2</v>
      </c>
      <c r="C10" s="165" t="s">
        <v>279</v>
      </c>
      <c r="D10" s="165"/>
      <c r="E10" s="165" t="s">
        <v>450</v>
      </c>
      <c r="F10" s="165" t="s">
        <v>451</v>
      </c>
      <c r="G10" s="165">
        <f>G9</f>
        <v>0</v>
      </c>
      <c r="H10" s="356">
        <f>4578/2</f>
        <v>2289</v>
      </c>
      <c r="I10" s="282">
        <v>2381</v>
      </c>
      <c r="J10" s="280"/>
      <c r="K10" s="238">
        <f t="shared" ref="K10:K44" si="0">I10-J10</f>
        <v>2381</v>
      </c>
      <c r="L10" s="165"/>
    </row>
    <row r="11" spans="2:14" ht="30" customHeight="1">
      <c r="B11" s="165">
        <f t="shared" ref="B11:B55" si="1">B10+1</f>
        <v>3</v>
      </c>
      <c r="C11" s="165" t="s">
        <v>433</v>
      </c>
      <c r="D11" s="165" t="s">
        <v>514</v>
      </c>
      <c r="E11" s="165" t="s">
        <v>529</v>
      </c>
      <c r="F11" s="165"/>
      <c r="G11" s="165">
        <f>G10</f>
        <v>0</v>
      </c>
      <c r="H11" s="356">
        <f>7042/2</f>
        <v>3521</v>
      </c>
      <c r="I11" s="282">
        <v>3662</v>
      </c>
      <c r="J11" s="280"/>
      <c r="K11" s="238">
        <f t="shared" si="0"/>
        <v>3662</v>
      </c>
      <c r="L11" s="165"/>
    </row>
    <row r="12" spans="2:14" ht="30" customHeight="1">
      <c r="B12" s="165">
        <f t="shared" si="1"/>
        <v>4</v>
      </c>
      <c r="C12" s="165" t="s">
        <v>280</v>
      </c>
      <c r="D12" s="165" t="s">
        <v>452</v>
      </c>
      <c r="E12" s="165" t="s">
        <v>453</v>
      </c>
      <c r="F12" s="165" t="s">
        <v>454</v>
      </c>
      <c r="G12" s="165">
        <f t="shared" ref="G12:G41" si="2">G11</f>
        <v>0</v>
      </c>
      <c r="H12" s="357">
        <f>3790/2</f>
        <v>1895</v>
      </c>
      <c r="I12" s="282">
        <v>1971</v>
      </c>
      <c r="J12" s="282"/>
      <c r="K12" s="238">
        <f t="shared" si="0"/>
        <v>1971</v>
      </c>
      <c r="L12" s="165"/>
    </row>
    <row r="13" spans="2:14" ht="30" customHeight="1">
      <c r="B13" s="165">
        <f t="shared" si="1"/>
        <v>5</v>
      </c>
      <c r="C13" s="165" t="s">
        <v>635</v>
      </c>
      <c r="D13" s="165" t="s">
        <v>455</v>
      </c>
      <c r="E13" s="165" t="s">
        <v>456</v>
      </c>
      <c r="F13" s="165" t="s">
        <v>457</v>
      </c>
      <c r="G13" s="165">
        <f>G60</f>
        <v>0</v>
      </c>
      <c r="H13" s="357">
        <f>5242/2</f>
        <v>2621</v>
      </c>
      <c r="I13" s="282">
        <v>2726</v>
      </c>
      <c r="J13" s="282"/>
      <c r="K13" s="238">
        <f t="shared" si="0"/>
        <v>2726</v>
      </c>
      <c r="L13" s="165"/>
      <c r="M13" t="s">
        <v>636</v>
      </c>
      <c r="N13" t="s">
        <v>655</v>
      </c>
    </row>
    <row r="14" spans="2:14" ht="30" customHeight="1">
      <c r="B14" s="165">
        <f t="shared" si="1"/>
        <v>6</v>
      </c>
      <c r="C14" s="165" t="s">
        <v>458</v>
      </c>
      <c r="D14" s="165"/>
      <c r="E14" s="165" t="s">
        <v>459</v>
      </c>
      <c r="F14" s="165" t="s">
        <v>454</v>
      </c>
      <c r="G14" s="165">
        <f t="shared" si="2"/>
        <v>0</v>
      </c>
      <c r="H14" s="357">
        <f>7720/2</f>
        <v>3860</v>
      </c>
      <c r="I14" s="282">
        <v>4014</v>
      </c>
      <c r="J14" s="414">
        <v>500</v>
      </c>
      <c r="K14" s="238">
        <f>I14-J14</f>
        <v>3514</v>
      </c>
      <c r="L14" s="165"/>
    </row>
    <row r="15" spans="2:14" ht="30" customHeight="1">
      <c r="B15" s="165">
        <f t="shared" si="1"/>
        <v>7</v>
      </c>
      <c r="C15" s="165" t="s">
        <v>281</v>
      </c>
      <c r="D15" s="165" t="s">
        <v>460</v>
      </c>
      <c r="E15" s="165" t="s">
        <v>461</v>
      </c>
      <c r="F15" s="165" t="s">
        <v>454</v>
      </c>
      <c r="G15" s="165">
        <f t="shared" si="2"/>
        <v>0</v>
      </c>
      <c r="H15" s="357">
        <v>3543</v>
      </c>
      <c r="I15" s="282">
        <v>3685</v>
      </c>
      <c r="J15" s="282"/>
      <c r="K15" s="238">
        <f>I15-J15</f>
        <v>3685</v>
      </c>
      <c r="L15" s="165"/>
    </row>
    <row r="16" spans="2:14" ht="30" customHeight="1">
      <c r="B16" s="165">
        <f t="shared" si="1"/>
        <v>8</v>
      </c>
      <c r="C16" s="165" t="s">
        <v>282</v>
      </c>
      <c r="D16" s="165" t="s">
        <v>462</v>
      </c>
      <c r="E16" s="165" t="s">
        <v>463</v>
      </c>
      <c r="F16" s="165" t="s">
        <v>464</v>
      </c>
      <c r="G16" s="165">
        <f t="shared" si="2"/>
        <v>0</v>
      </c>
      <c r="H16" s="357">
        <f>6608/2</f>
        <v>3304</v>
      </c>
      <c r="I16" s="282">
        <v>3436</v>
      </c>
      <c r="J16" s="282"/>
      <c r="K16" s="238">
        <f t="shared" si="0"/>
        <v>3436</v>
      </c>
      <c r="L16" s="165"/>
    </row>
    <row r="17" spans="2:14" ht="30" customHeight="1">
      <c r="B17" s="165">
        <f t="shared" si="1"/>
        <v>9</v>
      </c>
      <c r="C17" s="165" t="s">
        <v>719</v>
      </c>
      <c r="D17" s="165" t="s">
        <v>465</v>
      </c>
      <c r="E17" s="165" t="s">
        <v>466</v>
      </c>
      <c r="F17" s="165" t="s">
        <v>454</v>
      </c>
      <c r="G17" s="165">
        <f t="shared" si="2"/>
        <v>0</v>
      </c>
      <c r="H17" s="356">
        <f>3510/2</f>
        <v>1755</v>
      </c>
      <c r="I17" s="282">
        <v>1664</v>
      </c>
      <c r="J17" s="280"/>
      <c r="K17" s="238">
        <f t="shared" si="0"/>
        <v>1664</v>
      </c>
      <c r="L17" s="165"/>
      <c r="M17" t="s">
        <v>720</v>
      </c>
    </row>
    <row r="18" spans="2:14" ht="30" customHeight="1">
      <c r="B18" s="165">
        <f t="shared" si="1"/>
        <v>10</v>
      </c>
      <c r="C18" s="165" t="s">
        <v>283</v>
      </c>
      <c r="D18" s="165"/>
      <c r="E18" s="165" t="s">
        <v>467</v>
      </c>
      <c r="F18" s="165"/>
      <c r="G18" s="165">
        <f>G62</f>
        <v>0</v>
      </c>
      <c r="H18" s="356">
        <f>6240/2</f>
        <v>3120</v>
      </c>
      <c r="I18" s="282">
        <v>3245</v>
      </c>
      <c r="J18" s="282"/>
      <c r="K18" s="238">
        <f t="shared" si="0"/>
        <v>3245</v>
      </c>
      <c r="L18" s="165"/>
      <c r="M18" s="423"/>
    </row>
    <row r="19" spans="2:14" ht="30" customHeight="1">
      <c r="B19" s="165">
        <f t="shared" si="1"/>
        <v>11</v>
      </c>
      <c r="C19" s="165" t="s">
        <v>284</v>
      </c>
      <c r="D19" s="165" t="s">
        <v>468</v>
      </c>
      <c r="E19" s="165" t="s">
        <v>469</v>
      </c>
      <c r="F19" s="586" t="s">
        <v>646</v>
      </c>
      <c r="G19" s="165">
        <f t="shared" si="2"/>
        <v>0</v>
      </c>
      <c r="H19" s="357">
        <f>6128/2</f>
        <v>3064</v>
      </c>
      <c r="I19" s="282">
        <v>3187</v>
      </c>
      <c r="J19" s="282"/>
      <c r="K19" s="238">
        <f t="shared" si="0"/>
        <v>3187</v>
      </c>
      <c r="L19" s="165"/>
      <c r="M19" s="423"/>
      <c r="N19">
        <v>3187</v>
      </c>
    </row>
    <row r="20" spans="2:14" ht="30" customHeight="1">
      <c r="B20" s="165">
        <f t="shared" si="1"/>
        <v>12</v>
      </c>
      <c r="C20" s="165" t="s">
        <v>285</v>
      </c>
      <c r="D20" s="165"/>
      <c r="E20" s="165" t="s">
        <v>470</v>
      </c>
      <c r="F20" s="165" t="s">
        <v>454</v>
      </c>
      <c r="G20" s="165">
        <f t="shared" si="2"/>
        <v>0</v>
      </c>
      <c r="H20" s="356">
        <f>7330/2</f>
        <v>3665</v>
      </c>
      <c r="I20" s="282">
        <v>3812</v>
      </c>
      <c r="J20" s="282"/>
      <c r="K20" s="238">
        <f t="shared" si="0"/>
        <v>3812</v>
      </c>
      <c r="L20" s="165"/>
    </row>
    <row r="21" spans="2:14" ht="30" customHeight="1">
      <c r="B21" s="165">
        <f t="shared" si="1"/>
        <v>13</v>
      </c>
      <c r="C21" s="165" t="s">
        <v>286</v>
      </c>
      <c r="D21" s="165" t="s">
        <v>471</v>
      </c>
      <c r="E21" s="165" t="s">
        <v>448</v>
      </c>
      <c r="F21" s="165"/>
      <c r="G21" s="165">
        <f t="shared" si="2"/>
        <v>0</v>
      </c>
      <c r="H21" s="356">
        <f>6240/2</f>
        <v>3120</v>
      </c>
      <c r="I21" s="282">
        <v>3245</v>
      </c>
      <c r="J21" s="280"/>
      <c r="K21" s="238">
        <f t="shared" si="0"/>
        <v>3245</v>
      </c>
      <c r="L21" s="165"/>
    </row>
    <row r="22" spans="2:14" ht="30" customHeight="1">
      <c r="B22" s="165">
        <f t="shared" si="1"/>
        <v>14</v>
      </c>
      <c r="C22" s="165" t="s">
        <v>287</v>
      </c>
      <c r="D22" s="165" t="s">
        <v>472</v>
      </c>
      <c r="E22" s="165" t="s">
        <v>473</v>
      </c>
      <c r="F22" s="165" t="s">
        <v>474</v>
      </c>
      <c r="G22" s="165" t="e">
        <f>#REF!</f>
        <v>#REF!</v>
      </c>
      <c r="H22" s="356">
        <f>4210/2</f>
        <v>2105</v>
      </c>
      <c r="I22" s="282">
        <v>2189</v>
      </c>
      <c r="J22" s="280"/>
      <c r="K22" s="238">
        <f t="shared" si="0"/>
        <v>2189</v>
      </c>
      <c r="L22" s="165"/>
    </row>
    <row r="23" spans="2:14" ht="30" customHeight="1">
      <c r="B23" s="165">
        <f t="shared" si="1"/>
        <v>15</v>
      </c>
      <c r="C23" s="165" t="s">
        <v>288</v>
      </c>
      <c r="D23" s="165" t="s">
        <v>475</v>
      </c>
      <c r="E23" s="165" t="s">
        <v>476</v>
      </c>
      <c r="F23" s="165" t="s">
        <v>454</v>
      </c>
      <c r="G23" s="165" t="e">
        <f>#REF!</f>
        <v>#REF!</v>
      </c>
      <c r="H23" s="356">
        <f>4992/2</f>
        <v>2496</v>
      </c>
      <c r="I23" s="282">
        <v>3214</v>
      </c>
      <c r="J23" s="282"/>
      <c r="K23" s="238">
        <f t="shared" si="0"/>
        <v>3214</v>
      </c>
      <c r="L23" s="165"/>
      <c r="M23" s="443"/>
    </row>
    <row r="24" spans="2:14" ht="30" customHeight="1">
      <c r="B24" s="165">
        <f t="shared" si="1"/>
        <v>16</v>
      </c>
      <c r="C24" s="165" t="s">
        <v>597</v>
      </c>
      <c r="D24" s="165" t="s">
        <v>477</v>
      </c>
      <c r="E24" s="165" t="s">
        <v>478</v>
      </c>
      <c r="F24" s="165" t="s">
        <v>454</v>
      </c>
      <c r="G24" s="165" t="e">
        <f t="shared" si="2"/>
        <v>#REF!</v>
      </c>
      <c r="H24" s="356">
        <f>5848/2</f>
        <v>2924</v>
      </c>
      <c r="I24" s="282">
        <v>3811</v>
      </c>
      <c r="J24" s="280"/>
      <c r="K24" s="238">
        <f t="shared" si="0"/>
        <v>3811</v>
      </c>
      <c r="L24" s="165"/>
    </row>
    <row r="25" spans="2:14" ht="30" customHeight="1">
      <c r="B25" s="165">
        <f t="shared" si="1"/>
        <v>17</v>
      </c>
      <c r="C25" s="165" t="s">
        <v>479</v>
      </c>
      <c r="D25" s="165" t="s">
        <v>480</v>
      </c>
      <c r="E25" s="165" t="s">
        <v>481</v>
      </c>
      <c r="F25" s="165" t="s">
        <v>454</v>
      </c>
      <c r="G25" s="165" t="e">
        <f t="shared" si="2"/>
        <v>#REF!</v>
      </c>
      <c r="H25" s="356">
        <f>7060/2</f>
        <v>3530</v>
      </c>
      <c r="I25" s="282">
        <v>3671</v>
      </c>
      <c r="J25" s="280"/>
      <c r="K25" s="238">
        <f t="shared" si="0"/>
        <v>3671</v>
      </c>
      <c r="L25" s="165"/>
    </row>
    <row r="26" spans="2:14" ht="30" customHeight="1">
      <c r="B26" s="165">
        <f t="shared" si="1"/>
        <v>18</v>
      </c>
      <c r="C26" s="165" t="s">
        <v>289</v>
      </c>
      <c r="D26" s="165"/>
      <c r="E26" s="165" t="s">
        <v>482</v>
      </c>
      <c r="F26" s="165" t="s">
        <v>454</v>
      </c>
      <c r="G26" s="165" t="e">
        <f t="shared" si="2"/>
        <v>#REF!</v>
      </c>
      <c r="H26" s="356">
        <f>7414/2</f>
        <v>3707</v>
      </c>
      <c r="I26" s="282">
        <v>3855</v>
      </c>
      <c r="J26" s="280"/>
      <c r="K26" s="238">
        <f t="shared" si="0"/>
        <v>3855</v>
      </c>
      <c r="L26" s="165"/>
    </row>
    <row r="27" spans="2:14" ht="30" customHeight="1">
      <c r="B27" s="165">
        <f t="shared" si="1"/>
        <v>19</v>
      </c>
      <c r="C27" s="165" t="s">
        <v>291</v>
      </c>
      <c r="D27" s="165" t="s">
        <v>483</v>
      </c>
      <c r="E27" s="165" t="s">
        <v>484</v>
      </c>
      <c r="F27" s="165"/>
      <c r="G27" s="165" t="e">
        <f t="shared" si="2"/>
        <v>#REF!</v>
      </c>
      <c r="H27" s="356">
        <f>3510/2</f>
        <v>1755</v>
      </c>
      <c r="I27" s="282">
        <v>1825</v>
      </c>
      <c r="J27" s="280"/>
      <c r="K27" s="238">
        <f t="shared" si="0"/>
        <v>1825</v>
      </c>
      <c r="L27" s="165"/>
    </row>
    <row r="28" spans="2:14" ht="30" customHeight="1">
      <c r="B28" s="165">
        <f t="shared" si="1"/>
        <v>20</v>
      </c>
      <c r="C28" s="165" t="s">
        <v>292</v>
      </c>
      <c r="D28" s="165" t="s">
        <v>485</v>
      </c>
      <c r="E28" s="165" t="s">
        <v>486</v>
      </c>
      <c r="F28" s="165" t="s">
        <v>454</v>
      </c>
      <c r="G28" s="165" t="e">
        <f t="shared" si="2"/>
        <v>#REF!</v>
      </c>
      <c r="H28" s="357">
        <f>6438/2</f>
        <v>3219</v>
      </c>
      <c r="I28" s="282">
        <v>3348</v>
      </c>
      <c r="J28" s="282"/>
      <c r="K28" s="238">
        <f t="shared" si="0"/>
        <v>3348</v>
      </c>
      <c r="L28" s="165"/>
    </row>
    <row r="29" spans="2:14" ht="30" customHeight="1">
      <c r="B29" s="165">
        <f t="shared" si="1"/>
        <v>21</v>
      </c>
      <c r="C29" s="165" t="s">
        <v>592</v>
      </c>
      <c r="D29" s="165"/>
      <c r="E29" s="165" t="s">
        <v>593</v>
      </c>
      <c r="F29" s="165"/>
      <c r="G29" s="165" t="e">
        <f t="shared" si="2"/>
        <v>#REF!</v>
      </c>
      <c r="H29" s="357">
        <f>7488/2</f>
        <v>3744</v>
      </c>
      <c r="I29" s="282">
        <v>3894</v>
      </c>
      <c r="J29" s="282"/>
      <c r="K29" s="238">
        <f t="shared" si="0"/>
        <v>3894</v>
      </c>
      <c r="L29" s="165"/>
      <c r="M29" t="s">
        <v>596</v>
      </c>
      <c r="N29" t="s">
        <v>678</v>
      </c>
    </row>
    <row r="30" spans="2:14" ht="30" customHeight="1">
      <c r="B30" s="165">
        <f t="shared" si="1"/>
        <v>22</v>
      </c>
      <c r="C30" s="165" t="s">
        <v>620</v>
      </c>
      <c r="D30" s="165"/>
      <c r="E30" s="165" t="s">
        <v>621</v>
      </c>
      <c r="F30" s="165"/>
      <c r="G30" s="165" t="e">
        <f t="shared" si="2"/>
        <v>#REF!</v>
      </c>
      <c r="H30" s="357">
        <f>8320/2</f>
        <v>4160</v>
      </c>
      <c r="I30" s="282">
        <v>4326</v>
      </c>
      <c r="J30" s="282"/>
      <c r="K30" s="238">
        <f>I30-J30</f>
        <v>4326</v>
      </c>
      <c r="L30" s="165"/>
      <c r="M30" t="s">
        <v>622</v>
      </c>
      <c r="N30" t="s">
        <v>679</v>
      </c>
    </row>
    <row r="31" spans="2:14" ht="30" customHeight="1">
      <c r="B31" s="165">
        <f t="shared" si="1"/>
        <v>23</v>
      </c>
      <c r="C31" s="165" t="s">
        <v>487</v>
      </c>
      <c r="D31" s="165" t="s">
        <v>488</v>
      </c>
      <c r="E31" s="165" t="s">
        <v>448</v>
      </c>
      <c r="F31" s="165"/>
      <c r="G31" s="165" t="e">
        <f>#REF!</f>
        <v>#REF!</v>
      </c>
      <c r="H31" s="356">
        <f>6240/2</f>
        <v>3120</v>
      </c>
      <c r="I31" s="282">
        <v>3245</v>
      </c>
      <c r="J31" s="280"/>
      <c r="K31" s="238">
        <f t="shared" si="0"/>
        <v>3245</v>
      </c>
      <c r="L31" s="165"/>
    </row>
    <row r="32" spans="2:14" ht="30" customHeight="1">
      <c r="B32" s="165">
        <f t="shared" si="1"/>
        <v>24</v>
      </c>
      <c r="C32" s="165" t="s">
        <v>553</v>
      </c>
      <c r="D32" s="165"/>
      <c r="E32" s="165" t="s">
        <v>554</v>
      </c>
      <c r="F32" s="165"/>
      <c r="G32" s="165"/>
      <c r="H32" s="357">
        <f>7072/2</f>
        <v>3536</v>
      </c>
      <c r="I32" s="282">
        <v>3677</v>
      </c>
      <c r="J32" s="282"/>
      <c r="K32" s="238">
        <f t="shared" si="0"/>
        <v>3677</v>
      </c>
      <c r="L32" s="165"/>
      <c r="M32" s="275" t="s">
        <v>562</v>
      </c>
      <c r="N32" t="s">
        <v>660</v>
      </c>
    </row>
    <row r="33" spans="2:14" ht="30" customHeight="1">
      <c r="B33" s="165">
        <f t="shared" si="1"/>
        <v>25</v>
      </c>
      <c r="C33" s="165" t="s">
        <v>489</v>
      </c>
      <c r="D33" s="165" t="s">
        <v>490</v>
      </c>
      <c r="E33" s="165" t="s">
        <v>491</v>
      </c>
      <c r="F33" s="165" t="s">
        <v>492</v>
      </c>
      <c r="G33" s="165" t="e">
        <f>G31</f>
        <v>#REF!</v>
      </c>
      <c r="H33" s="356">
        <f>3536/2</f>
        <v>1768</v>
      </c>
      <c r="I33" s="282">
        <v>1839</v>
      </c>
      <c r="J33" s="280"/>
      <c r="K33" s="238">
        <f t="shared" si="0"/>
        <v>1839</v>
      </c>
      <c r="L33" s="165"/>
    </row>
    <row r="34" spans="2:14" ht="30" customHeight="1">
      <c r="B34" s="165">
        <f t="shared" si="1"/>
        <v>26</v>
      </c>
      <c r="C34" s="165" t="s">
        <v>293</v>
      </c>
      <c r="D34" s="165"/>
      <c r="E34" s="165" t="s">
        <v>467</v>
      </c>
      <c r="F34" s="165"/>
      <c r="G34" s="165" t="e">
        <f>G63</f>
        <v>#REF!</v>
      </c>
      <c r="H34" s="356">
        <f>6864/2</f>
        <v>3432</v>
      </c>
      <c r="I34" s="282">
        <v>3569</v>
      </c>
      <c r="J34" s="282"/>
      <c r="K34" s="238">
        <f t="shared" si="0"/>
        <v>3569</v>
      </c>
      <c r="L34" s="165"/>
    </row>
    <row r="35" spans="2:14" ht="30" customHeight="1">
      <c r="B35" s="165">
        <f t="shared" si="1"/>
        <v>27</v>
      </c>
      <c r="C35" s="165" t="s">
        <v>295</v>
      </c>
      <c r="D35" s="165"/>
      <c r="E35" s="165" t="s">
        <v>448</v>
      </c>
      <c r="F35" s="165"/>
      <c r="G35" s="165" t="e">
        <f>#REF!</f>
        <v>#REF!</v>
      </c>
      <c r="H35" s="357">
        <f>6240/2</f>
        <v>3120</v>
      </c>
      <c r="I35" s="282">
        <v>3569</v>
      </c>
      <c r="J35" s="282"/>
      <c r="K35" s="238">
        <f t="shared" si="0"/>
        <v>3569</v>
      </c>
      <c r="L35" s="165"/>
      <c r="M35" t="s">
        <v>745</v>
      </c>
    </row>
    <row r="36" spans="2:14" ht="30" customHeight="1">
      <c r="B36" s="165">
        <f t="shared" si="1"/>
        <v>28</v>
      </c>
      <c r="C36" s="165" t="s">
        <v>294</v>
      </c>
      <c r="D36" s="165" t="s">
        <v>493</v>
      </c>
      <c r="E36" s="267" t="s">
        <v>494</v>
      </c>
      <c r="F36" s="165" t="s">
        <v>464</v>
      </c>
      <c r="G36" s="165" t="e">
        <f t="shared" si="2"/>
        <v>#REF!</v>
      </c>
      <c r="H36" s="356">
        <f>5824/2</f>
        <v>2912</v>
      </c>
      <c r="I36" s="282">
        <v>3432</v>
      </c>
      <c r="J36" s="280"/>
      <c r="K36" s="238">
        <f t="shared" si="0"/>
        <v>3432</v>
      </c>
      <c r="L36" s="165"/>
    </row>
    <row r="37" spans="2:14" ht="30" customHeight="1">
      <c r="B37" s="165">
        <f t="shared" si="1"/>
        <v>29</v>
      </c>
      <c r="C37" s="165" t="s">
        <v>495</v>
      </c>
      <c r="D37" s="165" t="s">
        <v>496</v>
      </c>
      <c r="E37" s="165" t="s">
        <v>494</v>
      </c>
      <c r="F37" s="165" t="s">
        <v>474</v>
      </c>
      <c r="G37" s="165" t="e">
        <f t="shared" si="2"/>
        <v>#REF!</v>
      </c>
      <c r="H37" s="356">
        <f>4784/2</f>
        <v>2392</v>
      </c>
      <c r="I37" s="282">
        <v>2488</v>
      </c>
      <c r="J37" s="280"/>
      <c r="K37" s="238">
        <f t="shared" si="0"/>
        <v>2488</v>
      </c>
      <c r="L37" s="165"/>
    </row>
    <row r="38" spans="2:14" ht="30" customHeight="1">
      <c r="B38" s="165">
        <f t="shared" si="1"/>
        <v>30</v>
      </c>
      <c r="C38" s="267" t="s">
        <v>497</v>
      </c>
      <c r="D38" s="267"/>
      <c r="E38" s="267" t="s">
        <v>498</v>
      </c>
      <c r="F38" s="267" t="s">
        <v>451</v>
      </c>
      <c r="G38" s="267" t="e">
        <f t="shared" si="2"/>
        <v>#REF!</v>
      </c>
      <c r="H38" s="416">
        <f>6256/2</f>
        <v>3128</v>
      </c>
      <c r="I38" s="282">
        <v>3253</v>
      </c>
      <c r="J38" s="417"/>
      <c r="K38" s="418">
        <f t="shared" si="0"/>
        <v>3253</v>
      </c>
      <c r="L38" s="267"/>
    </row>
    <row r="39" spans="2:14" ht="30" customHeight="1">
      <c r="B39" s="165">
        <f t="shared" si="1"/>
        <v>31</v>
      </c>
      <c r="C39" s="267" t="s">
        <v>694</v>
      </c>
      <c r="D39" s="267"/>
      <c r="E39" s="267" t="s">
        <v>491</v>
      </c>
      <c r="F39" s="267" t="s">
        <v>499</v>
      </c>
      <c r="G39" s="267" t="e">
        <f t="shared" si="2"/>
        <v>#REF!</v>
      </c>
      <c r="H39" s="416">
        <f>3068/2</f>
        <v>1534</v>
      </c>
      <c r="I39" s="282">
        <v>1596</v>
      </c>
      <c r="J39" s="417"/>
      <c r="K39" s="418">
        <f t="shared" si="0"/>
        <v>1596</v>
      </c>
      <c r="L39" s="267"/>
      <c r="M39" t="s">
        <v>695</v>
      </c>
    </row>
    <row r="40" spans="2:14" ht="30" customHeight="1">
      <c r="B40" s="165">
        <f t="shared" si="1"/>
        <v>32</v>
      </c>
      <c r="C40" s="165" t="s">
        <v>525</v>
      </c>
      <c r="D40" s="165"/>
      <c r="E40" s="165" t="s">
        <v>526</v>
      </c>
      <c r="F40" s="165" t="s">
        <v>454</v>
      </c>
      <c r="G40" s="165"/>
      <c r="H40" s="356">
        <f>6240/2</f>
        <v>3120</v>
      </c>
      <c r="I40" s="282">
        <v>3245</v>
      </c>
      <c r="J40" s="280"/>
      <c r="K40" s="238">
        <f t="shared" si="0"/>
        <v>3245</v>
      </c>
      <c r="L40" s="165"/>
    </row>
    <row r="41" spans="2:14" ht="30" customHeight="1">
      <c r="B41" s="165">
        <f t="shared" si="1"/>
        <v>33</v>
      </c>
      <c r="C41" s="165" t="s">
        <v>434</v>
      </c>
      <c r="D41" s="165"/>
      <c r="E41" s="267" t="s">
        <v>500</v>
      </c>
      <c r="F41" s="165" t="s">
        <v>501</v>
      </c>
      <c r="G41" s="165">
        <f t="shared" si="2"/>
        <v>0</v>
      </c>
      <c r="H41" s="356">
        <f>3858/2</f>
        <v>1929</v>
      </c>
      <c r="I41" s="282">
        <v>2006</v>
      </c>
      <c r="J41" s="280"/>
      <c r="K41" s="238">
        <f t="shared" si="0"/>
        <v>2006</v>
      </c>
      <c r="L41" s="165"/>
    </row>
    <row r="42" spans="2:14" ht="30" customHeight="1">
      <c r="B42" s="165">
        <f t="shared" si="1"/>
        <v>34</v>
      </c>
      <c r="C42" s="165" t="s">
        <v>625</v>
      </c>
      <c r="D42" s="165"/>
      <c r="E42" s="165" t="s">
        <v>565</v>
      </c>
      <c r="F42" s="165" t="s">
        <v>564</v>
      </c>
      <c r="G42" s="165"/>
      <c r="H42" s="357"/>
      <c r="I42" s="282">
        <v>3432</v>
      </c>
      <c r="J42" s="282"/>
      <c r="K42" s="238">
        <f t="shared" si="0"/>
        <v>3432</v>
      </c>
      <c r="L42" s="165"/>
      <c r="M42" t="s">
        <v>626</v>
      </c>
      <c r="N42" t="s">
        <v>655</v>
      </c>
    </row>
    <row r="43" spans="2:14" ht="30" customHeight="1">
      <c r="B43" s="165">
        <f t="shared" si="1"/>
        <v>35</v>
      </c>
      <c r="C43" s="165" t="s">
        <v>605</v>
      </c>
      <c r="D43" s="165"/>
      <c r="E43" s="165" t="s">
        <v>606</v>
      </c>
      <c r="F43" s="165"/>
      <c r="G43" s="165"/>
      <c r="H43" s="357"/>
      <c r="I43" s="282">
        <v>6653</v>
      </c>
      <c r="J43" s="282"/>
      <c r="K43" s="238">
        <f t="shared" si="0"/>
        <v>6653</v>
      </c>
      <c r="L43" s="165"/>
      <c r="M43" t="s">
        <v>607</v>
      </c>
      <c r="N43" t="s">
        <v>656</v>
      </c>
    </row>
    <row r="44" spans="2:14" ht="30" customHeight="1">
      <c r="B44" s="165">
        <f t="shared" si="1"/>
        <v>36</v>
      </c>
      <c r="C44" s="165" t="s">
        <v>578</v>
      </c>
      <c r="D44" s="165"/>
      <c r="E44" s="165" t="s">
        <v>579</v>
      </c>
      <c r="F44" s="165"/>
      <c r="G44" s="165"/>
      <c r="H44" s="356">
        <f>7904/2</f>
        <v>3952</v>
      </c>
      <c r="I44" s="282">
        <v>4110</v>
      </c>
      <c r="J44" s="282"/>
      <c r="K44" s="238">
        <f t="shared" si="0"/>
        <v>4110</v>
      </c>
      <c r="L44" s="165"/>
      <c r="M44" t="s">
        <v>677</v>
      </c>
    </row>
    <row r="45" spans="2:14" ht="30" customHeight="1">
      <c r="B45" s="165">
        <f t="shared" si="1"/>
        <v>37</v>
      </c>
      <c r="C45" s="165" t="s">
        <v>615</v>
      </c>
      <c r="D45" s="165"/>
      <c r="E45" s="165" t="s">
        <v>614</v>
      </c>
      <c r="F45" s="165"/>
      <c r="G45" s="165"/>
      <c r="H45" s="357">
        <f>7488/2</f>
        <v>3744</v>
      </c>
      <c r="I45" s="282">
        <v>3894</v>
      </c>
      <c r="J45" s="282"/>
      <c r="K45" s="238">
        <f t="shared" ref="K45:K57" si="3">I45-J45</f>
        <v>3894</v>
      </c>
      <c r="L45" s="165"/>
      <c r="N45" t="s">
        <v>657</v>
      </c>
    </row>
    <row r="46" spans="2:14" ht="30" customHeight="1">
      <c r="B46" s="165">
        <f t="shared" si="1"/>
        <v>38</v>
      </c>
      <c r="C46" s="165" t="s">
        <v>610</v>
      </c>
      <c r="D46" s="165"/>
      <c r="E46" s="165" t="s">
        <v>246</v>
      </c>
      <c r="F46" s="165" t="s">
        <v>616</v>
      </c>
      <c r="G46" s="165"/>
      <c r="H46" s="357">
        <f>6138/2</f>
        <v>3069</v>
      </c>
      <c r="I46" s="282">
        <v>3192</v>
      </c>
      <c r="J46" s="282"/>
      <c r="K46" s="238">
        <f t="shared" si="3"/>
        <v>3192</v>
      </c>
      <c r="L46" s="165"/>
      <c r="M46" t="s">
        <v>617</v>
      </c>
      <c r="N46" t="s">
        <v>658</v>
      </c>
    </row>
    <row r="47" spans="2:14" ht="30" customHeight="1">
      <c r="B47" s="165">
        <f t="shared" si="1"/>
        <v>39</v>
      </c>
      <c r="C47" s="165" t="s">
        <v>611</v>
      </c>
      <c r="D47" s="165"/>
      <c r="E47" s="165" t="s">
        <v>612</v>
      </c>
      <c r="F47" s="165"/>
      <c r="G47" s="165"/>
      <c r="H47" s="357">
        <f>5880/2</f>
        <v>2940</v>
      </c>
      <c r="I47" s="282">
        <v>4000</v>
      </c>
      <c r="J47" s="282"/>
      <c r="K47" s="238">
        <f t="shared" si="3"/>
        <v>4000</v>
      </c>
      <c r="L47" s="165"/>
      <c r="M47" t="s">
        <v>613</v>
      </c>
      <c r="N47" t="s">
        <v>659</v>
      </c>
    </row>
    <row r="48" spans="2:14" ht="30" customHeight="1">
      <c r="B48" s="165">
        <f t="shared" si="1"/>
        <v>40</v>
      </c>
      <c r="C48" s="165" t="s">
        <v>639</v>
      </c>
      <c r="D48" s="165"/>
      <c r="E48" s="165" t="s">
        <v>606</v>
      </c>
      <c r="F48" s="165"/>
      <c r="G48" s="165"/>
      <c r="H48" s="357"/>
      <c r="I48" s="282">
        <v>6625</v>
      </c>
      <c r="J48" s="282"/>
      <c r="K48" s="238">
        <f t="shared" si="3"/>
        <v>6625</v>
      </c>
      <c r="L48" s="165"/>
      <c r="M48" t="s">
        <v>682</v>
      </c>
    </row>
    <row r="49" spans="2:14" ht="30" customHeight="1">
      <c r="B49" s="165">
        <f t="shared" si="1"/>
        <v>41</v>
      </c>
      <c r="C49" s="165" t="s">
        <v>651</v>
      </c>
      <c r="D49" s="165"/>
      <c r="E49" s="165" t="s">
        <v>239</v>
      </c>
      <c r="F49" s="165"/>
      <c r="G49" s="165"/>
      <c r="H49" s="357"/>
      <c r="I49" s="282">
        <v>3744</v>
      </c>
      <c r="J49" s="282"/>
      <c r="K49" s="238">
        <f t="shared" si="3"/>
        <v>3744</v>
      </c>
      <c r="L49" s="165"/>
      <c r="M49" s="290" t="s">
        <v>681</v>
      </c>
    </row>
    <row r="50" spans="2:14" ht="30" customHeight="1">
      <c r="B50" s="165">
        <f t="shared" si="1"/>
        <v>42</v>
      </c>
      <c r="C50" s="165" t="s">
        <v>664</v>
      </c>
      <c r="D50" s="165"/>
      <c r="E50" s="165" t="s">
        <v>666</v>
      </c>
      <c r="F50" s="165"/>
      <c r="G50" s="165"/>
      <c r="H50" s="357"/>
      <c r="I50" s="282">
        <v>7800</v>
      </c>
      <c r="J50" s="282"/>
      <c r="K50" s="238">
        <f t="shared" si="3"/>
        <v>7800</v>
      </c>
      <c r="L50" s="165"/>
      <c r="M50" t="s">
        <v>669</v>
      </c>
    </row>
    <row r="51" spans="2:14" ht="30" customHeight="1">
      <c r="B51" s="165">
        <f t="shared" si="1"/>
        <v>43</v>
      </c>
      <c r="C51" s="165" t="s">
        <v>665</v>
      </c>
      <c r="D51" s="165"/>
      <c r="E51" s="165" t="s">
        <v>667</v>
      </c>
      <c r="F51" s="165"/>
      <c r="G51" s="165"/>
      <c r="H51" s="357"/>
      <c r="I51" s="282">
        <v>7800</v>
      </c>
      <c r="J51" s="282"/>
      <c r="K51" s="238">
        <f t="shared" si="3"/>
        <v>7800</v>
      </c>
      <c r="L51" s="165"/>
      <c r="M51" t="s">
        <v>640</v>
      </c>
    </row>
    <row r="52" spans="2:14" ht="30" customHeight="1">
      <c r="B52" s="165">
        <f t="shared" si="1"/>
        <v>44</v>
      </c>
      <c r="C52" s="165" t="s">
        <v>674</v>
      </c>
      <c r="D52" s="165"/>
      <c r="E52" s="165" t="s">
        <v>675</v>
      </c>
      <c r="F52" s="165"/>
      <c r="G52" s="165"/>
      <c r="H52" s="357"/>
      <c r="I52" s="282">
        <v>3536</v>
      </c>
      <c r="J52" s="282"/>
      <c r="K52" s="238">
        <f t="shared" si="3"/>
        <v>3536</v>
      </c>
      <c r="L52" s="165"/>
      <c r="M52" t="s">
        <v>680</v>
      </c>
    </row>
    <row r="53" spans="2:14" ht="30" customHeight="1">
      <c r="B53" s="165">
        <f t="shared" si="1"/>
        <v>45</v>
      </c>
      <c r="C53" s="165" t="s">
        <v>690</v>
      </c>
      <c r="D53" s="165"/>
      <c r="E53" s="165" t="s">
        <v>686</v>
      </c>
      <c r="F53" s="165"/>
      <c r="G53" s="165"/>
      <c r="H53" s="357"/>
      <c r="I53" s="282">
        <v>2080</v>
      </c>
      <c r="J53" s="282"/>
      <c r="K53" s="238">
        <f t="shared" si="3"/>
        <v>2080</v>
      </c>
      <c r="L53" s="165"/>
      <c r="M53" t="s">
        <v>687</v>
      </c>
      <c r="N53" t="s">
        <v>688</v>
      </c>
    </row>
    <row r="54" spans="2:14" ht="30" customHeight="1">
      <c r="B54" s="165">
        <f t="shared" si="1"/>
        <v>46</v>
      </c>
      <c r="C54" s="165" t="s">
        <v>693</v>
      </c>
      <c r="D54" s="165"/>
      <c r="E54" s="165" t="s">
        <v>697</v>
      </c>
      <c r="F54" s="165"/>
      <c r="G54" s="165"/>
      <c r="H54" s="357"/>
      <c r="I54" s="282">
        <v>2080</v>
      </c>
      <c r="J54" s="282"/>
      <c r="K54" s="238">
        <f t="shared" si="3"/>
        <v>2080</v>
      </c>
      <c r="L54" s="165"/>
      <c r="M54" t="s">
        <v>696</v>
      </c>
    </row>
    <row r="55" spans="2:14" ht="30" customHeight="1">
      <c r="B55" s="165">
        <f t="shared" si="1"/>
        <v>47</v>
      </c>
      <c r="C55" s="165" t="s">
        <v>722</v>
      </c>
      <c r="D55" s="165"/>
      <c r="E55" s="165" t="s">
        <v>721</v>
      </c>
      <c r="F55" s="165"/>
      <c r="G55" s="165"/>
      <c r="H55" s="357"/>
      <c r="I55" s="282">
        <v>3120</v>
      </c>
      <c r="J55" s="282"/>
      <c r="K55" s="238">
        <f t="shared" si="3"/>
        <v>3120</v>
      </c>
      <c r="L55" s="165"/>
    </row>
    <row r="56" spans="2:14" ht="30" customHeight="1">
      <c r="B56" s="165">
        <v>49</v>
      </c>
      <c r="C56" s="165" t="s">
        <v>747</v>
      </c>
      <c r="D56" s="165"/>
      <c r="E56" s="165" t="s">
        <v>614</v>
      </c>
      <c r="F56" s="165"/>
      <c r="G56" s="165"/>
      <c r="H56" s="357"/>
      <c r="I56" s="282">
        <v>3744</v>
      </c>
      <c r="J56" s="282"/>
      <c r="K56" s="238">
        <f t="shared" si="3"/>
        <v>3744</v>
      </c>
      <c r="L56" s="165"/>
      <c r="M56" t="s">
        <v>748</v>
      </c>
    </row>
    <row r="57" spans="2:14" ht="30" customHeight="1">
      <c r="B57" s="165">
        <v>50</v>
      </c>
      <c r="C57" s="165" t="s">
        <v>749</v>
      </c>
      <c r="D57" s="165"/>
      <c r="E57" s="165" t="s">
        <v>750</v>
      </c>
      <c r="F57" s="165"/>
      <c r="G57" s="165"/>
      <c r="H57" s="357"/>
      <c r="I57" s="282">
        <v>4160</v>
      </c>
      <c r="J57" s="282"/>
      <c r="K57" s="238">
        <f t="shared" si="3"/>
        <v>4160</v>
      </c>
      <c r="L57" s="165"/>
      <c r="M57" t="s">
        <v>758</v>
      </c>
    </row>
    <row r="58" spans="2:14" ht="30" customHeight="1">
      <c r="F58" s="598" t="s">
        <v>53</v>
      </c>
      <c r="G58" s="599" t="s">
        <v>53</v>
      </c>
      <c r="H58" s="600"/>
      <c r="I58" s="601">
        <f>SUM(I9:I57)</f>
        <v>171740</v>
      </c>
      <c r="J58" s="601">
        <f>SUM(J9:J55)</f>
        <v>500</v>
      </c>
      <c r="K58" s="602">
        <f>SUM(K9:K57)</f>
        <v>171240</v>
      </c>
    </row>
    <row r="59" spans="2:14" ht="17.25" customHeight="1">
      <c r="H59" s="358"/>
      <c r="I59" s="283"/>
      <c r="J59" s="283"/>
      <c r="K59" s="239"/>
    </row>
    <row r="60" spans="2:14" ht="30" customHeight="1">
      <c r="B60" s="165">
        <v>51</v>
      </c>
      <c r="C60" s="165" t="s">
        <v>502</v>
      </c>
      <c r="D60" s="165"/>
      <c r="E60" s="165" t="s">
        <v>503</v>
      </c>
      <c r="F60" s="165" t="s">
        <v>504</v>
      </c>
      <c r="G60" s="165">
        <f>G12</f>
        <v>0</v>
      </c>
      <c r="H60" s="356">
        <f>2206/2</f>
        <v>1103</v>
      </c>
      <c r="I60" s="282">
        <v>1147</v>
      </c>
      <c r="J60" s="280"/>
      <c r="K60" s="238">
        <f>I60-J60</f>
        <v>1147</v>
      </c>
      <c r="L60" s="165"/>
    </row>
    <row r="61" spans="2:14" ht="30" customHeight="1">
      <c r="B61" s="165">
        <v>52</v>
      </c>
      <c r="C61" s="165" t="s">
        <v>569</v>
      </c>
      <c r="D61" s="165" t="s">
        <v>505</v>
      </c>
      <c r="E61" s="165" t="s">
        <v>506</v>
      </c>
      <c r="F61" s="165" t="s">
        <v>454</v>
      </c>
      <c r="G61" s="165">
        <f>G17</f>
        <v>0</v>
      </c>
      <c r="H61" s="356">
        <f>2310/2</f>
        <v>1155</v>
      </c>
      <c r="I61" s="282">
        <v>1201</v>
      </c>
      <c r="J61" s="280"/>
      <c r="K61" s="238">
        <f t="shared" ref="K61:K64" si="4">I61-J61</f>
        <v>1201</v>
      </c>
      <c r="L61" s="165"/>
    </row>
    <row r="62" spans="2:14" ht="30" customHeight="1">
      <c r="B62" s="165">
        <v>53</v>
      </c>
      <c r="C62" s="165" t="s">
        <v>619</v>
      </c>
      <c r="D62" s="165" t="s">
        <v>507</v>
      </c>
      <c r="E62" s="165" t="s">
        <v>506</v>
      </c>
      <c r="F62" s="165" t="s">
        <v>454</v>
      </c>
      <c r="G62" s="165">
        <f>G61</f>
        <v>0</v>
      </c>
      <c r="H62" s="356">
        <f>2310/2</f>
        <v>1155</v>
      </c>
      <c r="I62" s="282">
        <v>1201</v>
      </c>
      <c r="J62" s="280"/>
      <c r="K62" s="238">
        <f t="shared" si="4"/>
        <v>1201</v>
      </c>
      <c r="L62" s="165"/>
      <c r="M62" t="s">
        <v>618</v>
      </c>
      <c r="N62" t="s">
        <v>661</v>
      </c>
    </row>
    <row r="63" spans="2:14" ht="30" customHeight="1">
      <c r="B63" s="165">
        <v>54</v>
      </c>
      <c r="C63" s="165" t="s">
        <v>508</v>
      </c>
      <c r="D63" s="165" t="s">
        <v>509</v>
      </c>
      <c r="E63" s="165" t="s">
        <v>510</v>
      </c>
      <c r="F63" s="165"/>
      <c r="G63" s="165" t="e">
        <f>#REF!</f>
        <v>#REF!</v>
      </c>
      <c r="H63" s="356">
        <f>2100/2</f>
        <v>1050</v>
      </c>
      <c r="I63" s="282">
        <v>1092</v>
      </c>
      <c r="J63" s="280"/>
      <c r="K63" s="238">
        <f t="shared" si="4"/>
        <v>1092</v>
      </c>
      <c r="L63" s="165"/>
    </row>
    <row r="64" spans="2:14" ht="30" customHeight="1">
      <c r="B64" s="165">
        <f t="shared" ref="B64" si="5">B63+1</f>
        <v>55</v>
      </c>
      <c r="C64" s="165" t="s">
        <v>435</v>
      </c>
      <c r="D64" s="165" t="s">
        <v>511</v>
      </c>
      <c r="E64" s="165" t="s">
        <v>512</v>
      </c>
      <c r="F64" s="165" t="s">
        <v>499</v>
      </c>
      <c r="G64" s="165" t="e">
        <f>#REF!</f>
        <v>#REF!</v>
      </c>
      <c r="H64" s="356">
        <f>2142/2</f>
        <v>1071</v>
      </c>
      <c r="I64" s="282">
        <v>1114</v>
      </c>
      <c r="J64" s="280"/>
      <c r="K64" s="238">
        <f t="shared" si="4"/>
        <v>1114</v>
      </c>
      <c r="L64" s="165"/>
    </row>
    <row r="65" spans="2:12" ht="30" customHeight="1">
      <c r="F65" s="608" t="s">
        <v>513</v>
      </c>
      <c r="G65" s="609" t="s">
        <v>53</v>
      </c>
      <c r="H65" s="610"/>
      <c r="I65" s="611">
        <f>SUM(I60:I64)</f>
        <v>5755</v>
      </c>
      <c r="J65" s="611">
        <f>SUM(J60:J64)</f>
        <v>0</v>
      </c>
      <c r="K65" s="612">
        <f>SUM(K60:K64)</f>
        <v>5755</v>
      </c>
    </row>
    <row r="66" spans="2:12" ht="13.5" customHeight="1" thickBot="1">
      <c r="B66" s="228"/>
      <c r="C66" s="228"/>
      <c r="D66" s="228"/>
      <c r="E66" s="228"/>
      <c r="F66" s="240"/>
      <c r="G66" s="240"/>
      <c r="H66" s="359"/>
      <c r="I66" s="284"/>
      <c r="J66" s="284"/>
      <c r="K66" s="241"/>
      <c r="L66" s="228"/>
    </row>
    <row r="67" spans="2:12" ht="25.5" customHeight="1" thickTop="1">
      <c r="F67" s="603" t="s">
        <v>53</v>
      </c>
      <c r="G67" s="604" t="s">
        <v>53</v>
      </c>
      <c r="H67" s="605"/>
      <c r="I67" s="606">
        <f>I58+I65</f>
        <v>177495</v>
      </c>
      <c r="J67" s="607">
        <f>SUM(J58+J65)</f>
        <v>500</v>
      </c>
      <c r="K67" s="518">
        <f>SUM(K58+K65)</f>
        <v>176995</v>
      </c>
    </row>
    <row r="68" spans="2:12">
      <c r="H68" s="358"/>
      <c r="I68" s="283"/>
      <c r="J68" s="283"/>
      <c r="K68" s="239"/>
    </row>
    <row r="69" spans="2:12">
      <c r="H69" s="358"/>
      <c r="I69" s="283"/>
      <c r="J69" s="283"/>
      <c r="K69" s="239"/>
    </row>
    <row r="70" spans="2:12">
      <c r="H70" s="358"/>
      <c r="I70" s="283"/>
      <c r="J70" s="283"/>
      <c r="K70" s="239"/>
    </row>
    <row r="71" spans="2:12">
      <c r="H71" s="358"/>
      <c r="I71" s="283"/>
      <c r="J71" s="283"/>
      <c r="K71" s="239"/>
    </row>
    <row r="72" spans="2:12">
      <c r="C72" s="207"/>
      <c r="H72" s="358"/>
      <c r="I72" s="283"/>
      <c r="J72" s="283"/>
      <c r="K72" s="239"/>
    </row>
    <row r="73" spans="2:12">
      <c r="H73" s="358"/>
      <c r="I73" s="283"/>
      <c r="J73" s="283"/>
      <c r="K73" s="239"/>
    </row>
    <row r="74" spans="2:12">
      <c r="H74" s="358"/>
      <c r="I74" s="283"/>
      <c r="J74" s="283"/>
      <c r="K74" s="239"/>
    </row>
    <row r="78" spans="2:12">
      <c r="K78" s="233">
        <f>I67-J67</f>
        <v>176995</v>
      </c>
    </row>
    <row r="79" spans="2:12">
      <c r="K79" s="233">
        <f>K67-K78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REGIDORES</vt:lpstr>
      <vt:lpstr>BASE</vt:lpstr>
      <vt:lpstr>SEGU-PBCA</vt:lpstr>
      <vt:lpstr>P-CIVIL</vt:lpstr>
      <vt:lpstr>NOMINA TRAB.EVENTUALES</vt:lpstr>
      <vt:lpstr>PAGO SEMANAL</vt:lpstr>
      <vt:lpstr>PENSION POR JUBILACION</vt:lpstr>
      <vt:lpstr>NOMINA PENSIONADOS</vt:lpstr>
      <vt:lpstr>NOMINA ORD. DE PAGO QUINCENAL</vt:lpstr>
      <vt:lpstr>PAGO TRAB.MENSUALES</vt:lpstr>
      <vt:lpstr>CASA DE CULTURA </vt:lpstr>
      <vt:lpstr>TOTAL DE PAGOS 2DAQUIN.OCTUBRE</vt:lpstr>
      <vt:lpstr>BASE!Área_de_impresión</vt:lpstr>
      <vt:lpstr>'CASA DE CULTURA 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'PENSION POR JUBILACION'!Área_de_impresión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2021-04-15T14:14:57Z</cp:lastPrinted>
  <dcterms:created xsi:type="dcterms:W3CDTF">2018-09-24T18:29:12Z</dcterms:created>
  <dcterms:modified xsi:type="dcterms:W3CDTF">2023-08-09T20:11:13Z</dcterms:modified>
</cp:coreProperties>
</file>