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Noviembre 2020\"/>
    </mc:Choice>
  </mc:AlternateContent>
  <xr:revisionPtr revIDLastSave="0" documentId="13_ncr:1_{BFBE452A-757D-4F71-A98D-39CC842D35A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r:id="rId11"/>
    <sheet name="TOTAL DE PAGOS 2DAQUIN.OCTUBRE" sheetId="13" state="hidden" r:id="rId12"/>
  </sheets>
  <definedNames>
    <definedName name="_xlnm.Print_Area" localSheetId="1">BASE!$B$2:$N$201</definedName>
    <definedName name="_xlnm.Print_Area" localSheetId="10">'CASA DE CULTURA '!$B$1:$O$20</definedName>
    <definedName name="_xlnm.Print_Area" localSheetId="8">'NOMINA ORD. DE PAGO QUINCENAL'!$A$1:$L$77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TRAB.MENSUALES'!$C$2:$K$34</definedName>
    <definedName name="_xlnm.Print_Area" localSheetId="3">'P-CIVIL'!$A$1:$Q$32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6" l="1"/>
  <c r="L90" i="2" l="1"/>
  <c r="F14" i="16" l="1"/>
  <c r="F10" i="16"/>
  <c r="Q11" i="3"/>
  <c r="O14" i="4"/>
  <c r="K16" i="5"/>
  <c r="L16" i="5" s="1"/>
  <c r="F16" i="16" l="1"/>
  <c r="J60" i="14"/>
  <c r="K59" i="14"/>
  <c r="J13" i="16" l="1"/>
  <c r="N13" i="16" l="1"/>
  <c r="L182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L135" i="2"/>
  <c r="L61" i="2"/>
  <c r="L52" i="2"/>
  <c r="L165" i="2"/>
  <c r="I10" i="16" l="1"/>
  <c r="I16" i="16" s="1"/>
  <c r="J23" i="16"/>
  <c r="J8" i="16"/>
  <c r="J10" i="16" s="1"/>
  <c r="J16" i="16" s="1"/>
  <c r="J24" i="16" l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s="1"/>
  <c r="L22" i="15" s="1"/>
  <c r="L7" i="15" l="1"/>
  <c r="L15" i="15" l="1"/>
  <c r="N7" i="15"/>
  <c r="N15" i="15" s="1"/>
  <c r="L23" i="15" l="1"/>
  <c r="N22" i="15"/>
  <c r="O36" i="6" l="1"/>
  <c r="P36" i="6" s="1"/>
  <c r="O35" i="6"/>
  <c r="P35" i="6" s="1"/>
  <c r="O34" i="6"/>
  <c r="P34" i="6" s="1"/>
  <c r="G13" i="5" l="1"/>
  <c r="L24" i="13" l="1"/>
  <c r="B15" i="13"/>
  <c r="B10" i="13"/>
  <c r="B11" i="13"/>
  <c r="C17" i="13"/>
  <c r="B17" i="13" s="1"/>
  <c r="K15" i="14" l="1"/>
  <c r="O33" i="6"/>
  <c r="P33" i="6" s="1"/>
  <c r="N27" i="4" l="1"/>
  <c r="O26" i="4"/>
  <c r="K58" i="14" l="1"/>
  <c r="O32" i="6" l="1"/>
  <c r="P32" i="6" s="1"/>
  <c r="K57" i="14" l="1"/>
  <c r="J31" i="8" l="1"/>
  <c r="J28" i="8"/>
  <c r="J18" i="8"/>
  <c r="J33" i="8" s="1"/>
  <c r="C14" i="13" s="1"/>
  <c r="B14" i="13" s="1"/>
  <c r="O31" i="6"/>
  <c r="P31" i="6" s="1"/>
  <c r="K56" i="14" l="1"/>
  <c r="K55" i="14" l="1"/>
  <c r="K54" i="14"/>
  <c r="O30" i="6"/>
  <c r="P30" i="6" s="1"/>
  <c r="K53" i="14" l="1"/>
  <c r="K194" i="2" l="1"/>
  <c r="J194" i="2"/>
  <c r="G194" i="2"/>
  <c r="L193" i="2"/>
  <c r="L194" i="2" s="1"/>
  <c r="E193" i="2"/>
  <c r="H193" i="2" l="1"/>
  <c r="H194" i="2" s="1"/>
  <c r="F194" i="2"/>
  <c r="M193" i="2"/>
  <c r="M194" i="2" s="1"/>
  <c r="O29" i="6" l="1"/>
  <c r="P29" i="6" s="1"/>
  <c r="P26" i="6" l="1"/>
  <c r="K52" i="14" l="1"/>
  <c r="O25" i="4" l="1"/>
  <c r="P25" i="4" s="1"/>
  <c r="M16" i="3" l="1"/>
  <c r="J15" i="3"/>
  <c r="H51" i="14"/>
  <c r="G10" i="11"/>
  <c r="J22" i="3"/>
  <c r="E151" i="2"/>
  <c r="E121" i="2"/>
  <c r="K10" i="11" l="1"/>
  <c r="E45" i="2"/>
  <c r="G24" i="6" l="1"/>
  <c r="I24" i="6" s="1"/>
  <c r="K24" i="6" s="1"/>
  <c r="P24" i="6" l="1"/>
  <c r="H66" i="14"/>
  <c r="I66" i="14" s="1"/>
  <c r="H65" i="14"/>
  <c r="I65" i="14" s="1"/>
  <c r="H64" i="14"/>
  <c r="I64" i="14" s="1"/>
  <c r="H63" i="14"/>
  <c r="I63" i="14" s="1"/>
  <c r="H62" i="14"/>
  <c r="I62" i="14" s="1"/>
  <c r="H50" i="14"/>
  <c r="I50" i="14" s="1"/>
  <c r="H49" i="14"/>
  <c r="I49" i="14" s="1"/>
  <c r="H48" i="14"/>
  <c r="I48" i="14" s="1"/>
  <c r="H47" i="14"/>
  <c r="I47" i="14" s="1"/>
  <c r="H44" i="14"/>
  <c r="I44" i="14" s="1"/>
  <c r="H43" i="14"/>
  <c r="I43" i="14" s="1"/>
  <c r="H42" i="14"/>
  <c r="H41" i="14"/>
  <c r="I41" i="14" s="1"/>
  <c r="H40" i="14"/>
  <c r="I40" i="14" s="1"/>
  <c r="H39" i="14"/>
  <c r="H38" i="14"/>
  <c r="I38" i="14" s="1"/>
  <c r="H37" i="14"/>
  <c r="I37" i="14" s="1"/>
  <c r="H36" i="14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0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R11" i="3" s="1"/>
  <c r="H24" i="4"/>
  <c r="J24" i="4" s="1"/>
  <c r="H23" i="4"/>
  <c r="J23" i="4" s="1"/>
  <c r="H22" i="4"/>
  <c r="J22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14" i="4"/>
  <c r="J14" i="4" s="1"/>
  <c r="J13" i="4"/>
  <c r="H12" i="4"/>
  <c r="J12" i="4" s="1"/>
  <c r="G37" i="6"/>
  <c r="I37" i="6" s="1"/>
  <c r="G28" i="6"/>
  <c r="I28" i="6" s="1"/>
  <c r="G27" i="6"/>
  <c r="I27" i="6" s="1"/>
  <c r="G26" i="6"/>
  <c r="I26" i="6" s="1"/>
  <c r="I25" i="6"/>
  <c r="G23" i="6"/>
  <c r="I23" i="6" s="1"/>
  <c r="G22" i="6"/>
  <c r="I22" i="6" s="1"/>
  <c r="G21" i="6"/>
  <c r="I21" i="6" s="1"/>
  <c r="G20" i="6"/>
  <c r="I20" i="6" s="1"/>
  <c r="G19" i="6"/>
  <c r="I19" i="6" s="1"/>
  <c r="G18" i="6"/>
  <c r="G17" i="6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87" i="2"/>
  <c r="F187" i="2" s="1"/>
  <c r="J27" i="4" l="1"/>
  <c r="H182" i="2"/>
  <c r="M182" i="2" s="1"/>
  <c r="E182" i="2"/>
  <c r="E176" i="2"/>
  <c r="F176" i="2" s="1"/>
  <c r="H176" i="2" s="1"/>
  <c r="E170" i="2"/>
  <c r="F170" i="2" s="1"/>
  <c r="H170" i="2" s="1"/>
  <c r="E165" i="2"/>
  <c r="F165" i="2" s="1"/>
  <c r="H165" i="2" s="1"/>
  <c r="M165" i="2" s="1"/>
  <c r="H157" i="2"/>
  <c r="E157" i="2"/>
  <c r="E152" i="2"/>
  <c r="H152" i="2" s="1"/>
  <c r="F151" i="2"/>
  <c r="H151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H133" i="2" s="1"/>
  <c r="F121" i="2"/>
  <c r="H121" i="2" s="1"/>
  <c r="E120" i="2"/>
  <c r="F120" i="2" s="1"/>
  <c r="E115" i="2"/>
  <c r="F115" i="2" s="1"/>
  <c r="H115" i="2" s="1"/>
  <c r="H114" i="2" l="1"/>
  <c r="E114" i="2"/>
  <c r="E113" i="2" l="1"/>
  <c r="F113" i="2" s="1"/>
  <c r="E112" i="2"/>
  <c r="F112" i="2" s="1"/>
  <c r="H112" i="2" s="1"/>
  <c r="E111" i="2"/>
  <c r="F111" i="2" s="1"/>
  <c r="H111" i="2" s="1"/>
  <c r="E102" i="2"/>
  <c r="F102" i="2" s="1"/>
  <c r="H102" i="2" s="1"/>
  <c r="E92" i="2"/>
  <c r="H92" i="2" s="1"/>
  <c r="E91" i="2"/>
  <c r="F91" i="2" s="1"/>
  <c r="H91" i="2" s="1"/>
  <c r="E90" i="2"/>
  <c r="H90" i="2" s="1"/>
  <c r="M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E61" i="2"/>
  <c r="F61" i="2" s="1"/>
  <c r="H61" i="2" s="1"/>
  <c r="M61" i="2" s="1"/>
  <c r="K53" i="2"/>
  <c r="E52" i="2"/>
  <c r="F52" i="2" s="1"/>
  <c r="H52" i="2" s="1"/>
  <c r="M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M69" i="2" l="1"/>
  <c r="H7" i="2"/>
  <c r="G11" i="5" l="1"/>
  <c r="G10" i="5"/>
  <c r="G9" i="5"/>
  <c r="G8" i="5"/>
  <c r="K32" i="14" l="1"/>
  <c r="K50" i="14" l="1"/>
  <c r="K49" i="14" l="1"/>
  <c r="K51" i="14" l="1"/>
  <c r="J122" i="2" l="1"/>
  <c r="H17" i="13" l="1"/>
  <c r="H18" i="13" s="1"/>
  <c r="O28" i="6" l="1"/>
  <c r="K28" i="6"/>
  <c r="P28" i="6" l="1"/>
  <c r="O35" i="3"/>
  <c r="K48" i="14" l="1"/>
  <c r="J67" i="14" l="1"/>
  <c r="J69" i="14" s="1"/>
  <c r="K122" i="2" l="1"/>
  <c r="F122" i="2"/>
  <c r="H120" i="2"/>
  <c r="L120" i="2"/>
  <c r="H122" i="2" l="1"/>
  <c r="M120" i="2"/>
  <c r="K63" i="14" l="1"/>
  <c r="K64" i="14"/>
  <c r="K65" i="14"/>
  <c r="K66" i="14"/>
  <c r="K62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9" i="14"/>
  <c r="K60" i="14" s="1"/>
  <c r="I67" i="14"/>
  <c r="I69" i="14" s="1"/>
  <c r="C13" i="13" s="1"/>
  <c r="B13" i="13" s="1"/>
  <c r="K67" i="14" l="1"/>
  <c r="K69" i="14" s="1"/>
  <c r="K80" i="14"/>
  <c r="N38" i="6" l="1"/>
  <c r="K81" i="14" l="1"/>
  <c r="U35" i="3"/>
  <c r="H47" i="2" l="1"/>
  <c r="J47" i="2"/>
  <c r="K47" i="2"/>
  <c r="G188" i="2" l="1"/>
  <c r="J188" i="2"/>
  <c r="G183" i="2"/>
  <c r="K93" i="2" l="1"/>
  <c r="L92" i="2"/>
  <c r="M92" i="2" s="1"/>
  <c r="H93" i="2"/>
  <c r="G93" i="2"/>
  <c r="F93" i="2"/>
  <c r="L45" i="2" l="1"/>
  <c r="M45" i="2" s="1"/>
  <c r="H113" i="2" l="1"/>
  <c r="L9" i="5" l="1"/>
  <c r="L10" i="5"/>
  <c r="L11" i="5"/>
  <c r="L12" i="5"/>
  <c r="L13" i="5"/>
  <c r="L14" i="5"/>
  <c r="L15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3" i="2"/>
  <c r="J116" i="2"/>
  <c r="J140" i="2"/>
  <c r="J153" i="2"/>
  <c r="J158" i="2"/>
  <c r="J171" i="2"/>
  <c r="J166" i="2"/>
  <c r="J177" i="2"/>
  <c r="J183" i="2"/>
  <c r="J196" i="2" l="1"/>
  <c r="H187" i="2" l="1"/>
  <c r="H188" i="2" s="1"/>
  <c r="F188" i="2"/>
  <c r="K188" i="2"/>
  <c r="L187" i="2"/>
  <c r="L188" i="2" l="1"/>
  <c r="M187" i="2"/>
  <c r="M188" i="2" s="1"/>
  <c r="O188" i="2" s="1"/>
  <c r="G15" i="11"/>
  <c r="I38" i="6"/>
  <c r="L38" i="6"/>
  <c r="E13" i="13" l="1"/>
  <c r="F14" i="13"/>
  <c r="K63" i="2" l="1"/>
  <c r="K70" i="2"/>
  <c r="K177" i="2"/>
  <c r="K183" i="2"/>
  <c r="K35" i="3" l="1"/>
  <c r="M35" i="3"/>
  <c r="P35" i="3"/>
  <c r="C12" i="13" l="1"/>
  <c r="B12" i="13" s="1"/>
  <c r="J18" i="5"/>
  <c r="D18" i="5"/>
  <c r="P2" i="2" l="1"/>
  <c r="P3" i="2"/>
  <c r="P4" i="2"/>
  <c r="K171" i="2"/>
  <c r="K166" i="2"/>
  <c r="K158" i="2"/>
  <c r="K153" i="2"/>
  <c r="K140" i="2"/>
  <c r="K116" i="2"/>
  <c r="K103" i="2"/>
  <c r="K98" i="2"/>
  <c r="K75" i="2"/>
  <c r="H70" i="2"/>
  <c r="K39" i="2"/>
  <c r="K34" i="2"/>
  <c r="K24" i="2"/>
  <c r="K18" i="2"/>
  <c r="K14" i="2"/>
  <c r="K9" i="2"/>
  <c r="H9" i="2"/>
  <c r="I183" i="2"/>
  <c r="L183" i="2"/>
  <c r="F14" i="2"/>
  <c r="H14" i="2"/>
  <c r="I14" i="2"/>
  <c r="G18" i="5"/>
  <c r="K12" i="6"/>
  <c r="Q17" i="3"/>
  <c r="R17" i="3" s="1"/>
  <c r="L44" i="2"/>
  <c r="M44" i="2" s="1"/>
  <c r="C8" i="13" l="1"/>
  <c r="B8" i="13" s="1"/>
  <c r="L27" i="5"/>
  <c r="L28" i="5" s="1"/>
  <c r="K196" i="2"/>
  <c r="H183" i="2"/>
  <c r="O183" i="2" s="1"/>
  <c r="H177" i="2"/>
  <c r="H171" i="2"/>
  <c r="H166" i="2"/>
  <c r="H158" i="2"/>
  <c r="H153" i="2"/>
  <c r="H116" i="2"/>
  <c r="H103" i="2"/>
  <c r="H98" i="2"/>
  <c r="H75" i="2"/>
  <c r="H63" i="2"/>
  <c r="H53" i="2"/>
  <c r="H39" i="2"/>
  <c r="H34" i="2"/>
  <c r="H18" i="2"/>
  <c r="F183" i="2" l="1"/>
  <c r="F47" i="2"/>
  <c r="F24" i="2"/>
  <c r="F9" i="2"/>
  <c r="F18" i="2"/>
  <c r="F63" i="2" l="1"/>
  <c r="M183" i="2"/>
  <c r="P183" i="2" l="1"/>
  <c r="E8" i="13"/>
  <c r="M27" i="4"/>
  <c r="O24" i="4"/>
  <c r="L24" i="4"/>
  <c r="P24" i="4" l="1"/>
  <c r="H24" i="2"/>
  <c r="U17" i="6" l="1"/>
  <c r="V17" i="6" s="1"/>
  <c r="U21" i="6"/>
  <c r="V21" i="6" s="1"/>
  <c r="G9" i="14" l="1"/>
  <c r="G10" i="14" s="1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l="1"/>
  <c r="G35" i="14" s="1"/>
  <c r="G36" i="14" s="1"/>
  <c r="G65" i="14" s="1"/>
  <c r="G37" i="14" s="1"/>
  <c r="G38" i="14" s="1"/>
  <c r="G39" i="14" s="1"/>
  <c r="G40" i="14" s="1"/>
  <c r="G41" i="14" s="1"/>
  <c r="G42" i="14" s="1"/>
  <c r="G44" i="14" s="1"/>
  <c r="F17" i="13"/>
  <c r="F18" i="13" s="1"/>
  <c r="G66" i="14" l="1"/>
  <c r="L43" i="2"/>
  <c r="M43" i="2" l="1"/>
  <c r="O25" i="6"/>
  <c r="I171" i="2" l="1"/>
  <c r="G171" i="2"/>
  <c r="F171" i="2"/>
  <c r="A73" i="13" l="1"/>
  <c r="L170" i="2" l="1"/>
  <c r="L176" i="2"/>
  <c r="F177" i="2"/>
  <c r="G177" i="2"/>
  <c r="I177" i="2"/>
  <c r="L171" i="2" l="1"/>
  <c r="O171" i="2" s="1"/>
  <c r="M170" i="2"/>
  <c r="L177" i="2"/>
  <c r="O177" i="2" s="1"/>
  <c r="M176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K15" i="11" s="1"/>
  <c r="C16" i="13" s="1"/>
  <c r="B16" i="13" s="1"/>
  <c r="J8" i="11"/>
  <c r="M177" i="2" l="1"/>
  <c r="P177" i="2" s="1"/>
  <c r="M171" i="2"/>
  <c r="P171" i="2" s="1"/>
  <c r="J15" i="11"/>
  <c r="K23" i="11" l="1"/>
  <c r="C12" i="9"/>
  <c r="G15" i="13" l="1"/>
  <c r="O26" i="6"/>
  <c r="K26" i="6"/>
  <c r="K25" i="6"/>
  <c r="P25" i="6" s="1"/>
  <c r="G18" i="13" l="1"/>
  <c r="O23" i="6"/>
  <c r="K23" i="6"/>
  <c r="P23" i="6" l="1"/>
  <c r="S30" i="5" l="1"/>
  <c r="J38" i="6" l="1"/>
  <c r="O27" i="6"/>
  <c r="O37" i="6"/>
  <c r="K37" i="6"/>
  <c r="P37" i="6" s="1"/>
  <c r="L23" i="4" l="1"/>
  <c r="O22" i="4"/>
  <c r="O23" i="4"/>
  <c r="L22" i="4"/>
  <c r="P23" i="4" l="1"/>
  <c r="P22" i="4"/>
  <c r="K27" i="6"/>
  <c r="P27" i="6" s="1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5" i="5"/>
  <c r="K14" i="5"/>
  <c r="K13" i="5"/>
  <c r="K12" i="5"/>
  <c r="K11" i="5"/>
  <c r="K10" i="5"/>
  <c r="K9" i="5"/>
  <c r="K8" i="5"/>
  <c r="K27" i="4"/>
  <c r="O21" i="4"/>
  <c r="L21" i="4"/>
  <c r="O20" i="4"/>
  <c r="L20" i="4"/>
  <c r="P20" i="4" s="1"/>
  <c r="O19" i="4"/>
  <c r="L19" i="4"/>
  <c r="O18" i="4"/>
  <c r="L18" i="4"/>
  <c r="O17" i="4"/>
  <c r="L17" i="4"/>
  <c r="O16" i="4"/>
  <c r="L16" i="4"/>
  <c r="O15" i="4"/>
  <c r="L15" i="4"/>
  <c r="L14" i="4"/>
  <c r="P14" i="4" s="1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21" i="2"/>
  <c r="L112" i="2"/>
  <c r="M112" i="2" s="1"/>
  <c r="L113" i="2"/>
  <c r="M113" i="2" s="1"/>
  <c r="L114" i="2"/>
  <c r="M114" i="2" s="1"/>
  <c r="L115" i="2"/>
  <c r="M115" i="2" s="1"/>
  <c r="L111" i="2"/>
  <c r="L68" i="2"/>
  <c r="M68" i="2" s="1"/>
  <c r="L67" i="2"/>
  <c r="M67" i="2" s="1"/>
  <c r="L62" i="2"/>
  <c r="M62" i="2" s="1"/>
  <c r="L51" i="2"/>
  <c r="M51" i="2" s="1"/>
  <c r="O27" i="4" l="1"/>
  <c r="P34" i="4" s="1"/>
  <c r="P13" i="6"/>
  <c r="P12" i="4"/>
  <c r="K18" i="5"/>
  <c r="P13" i="4"/>
  <c r="P16" i="4"/>
  <c r="P18" i="4"/>
  <c r="O38" i="6"/>
  <c r="P16" i="6"/>
  <c r="M121" i="2"/>
  <c r="M122" i="2" s="1"/>
  <c r="L122" i="2"/>
  <c r="P15" i="4"/>
  <c r="P17" i="4"/>
  <c r="P19" i="4"/>
  <c r="P21" i="4"/>
  <c r="Q35" i="3"/>
  <c r="R44" i="3" s="1"/>
  <c r="L63" i="2"/>
  <c r="M63" i="2"/>
  <c r="L116" i="2"/>
  <c r="M111" i="2"/>
  <c r="L70" i="2"/>
  <c r="K38" i="6"/>
  <c r="P54" i="6" s="1"/>
  <c r="M53" i="2"/>
  <c r="P12" i="6"/>
  <c r="P14" i="6"/>
  <c r="P19" i="6"/>
  <c r="P15" i="6"/>
  <c r="P22" i="6"/>
  <c r="P17" i="6"/>
  <c r="P20" i="6"/>
  <c r="P21" i="6"/>
  <c r="P18" i="6"/>
  <c r="R35" i="3"/>
  <c r="G140" i="2"/>
  <c r="F140" i="2"/>
  <c r="G166" i="2"/>
  <c r="I166" i="2"/>
  <c r="F166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27" i="4" l="1"/>
  <c r="P35" i="4"/>
  <c r="F206" i="2"/>
  <c r="P38" i="6"/>
  <c r="F196" i="2"/>
  <c r="E11" i="13"/>
  <c r="M24" i="2"/>
  <c r="O63" i="2"/>
  <c r="E12" i="13"/>
  <c r="R45" i="3"/>
  <c r="G196" i="2"/>
  <c r="M9" i="2"/>
  <c r="M85" i="2"/>
  <c r="M93" i="2" s="1"/>
  <c r="L93" i="2"/>
  <c r="O93" i="2" s="1"/>
  <c r="M47" i="2"/>
  <c r="L47" i="2"/>
  <c r="O47" i="2" s="1"/>
  <c r="M139" i="2"/>
  <c r="M138" i="2"/>
  <c r="M137" i="2"/>
  <c r="L75" i="2"/>
  <c r="O75" i="2" s="1"/>
  <c r="M74" i="2"/>
  <c r="M136" i="2"/>
  <c r="M134" i="2"/>
  <c r="M153" i="2"/>
  <c r="O122" i="2"/>
  <c r="O116" i="2"/>
  <c r="M18" i="2"/>
  <c r="M70" i="2"/>
  <c r="L140" i="2"/>
  <c r="O53" i="2"/>
  <c r="P53" i="2" s="1"/>
  <c r="O70" i="2"/>
  <c r="H140" i="2"/>
  <c r="H196" i="2" s="1"/>
  <c r="L153" i="2"/>
  <c r="O153" i="2" s="1"/>
  <c r="L9" i="2"/>
  <c r="L14" i="2"/>
  <c r="O14" i="2" s="1"/>
  <c r="M34" i="2"/>
  <c r="L98" i="2"/>
  <c r="O98" i="2" s="1"/>
  <c r="L103" i="2"/>
  <c r="L158" i="2"/>
  <c r="O158" i="2" s="1"/>
  <c r="L166" i="2"/>
  <c r="O166" i="2" s="1"/>
  <c r="M116" i="2"/>
  <c r="L39" i="2"/>
  <c r="O39" i="2" s="1"/>
  <c r="L18" i="2"/>
  <c r="O18" i="2" s="1"/>
  <c r="L34" i="2"/>
  <c r="O34" i="2" s="1"/>
  <c r="L24" i="2"/>
  <c r="O24" i="2" s="1"/>
  <c r="L196" i="2" l="1"/>
  <c r="C9" i="13"/>
  <c r="B9" i="13" s="1"/>
  <c r="B18" i="13" s="1"/>
  <c r="F207" i="2"/>
  <c r="E10" i="13"/>
  <c r="E23" i="13" s="1"/>
  <c r="O103" i="2"/>
  <c r="M140" i="2"/>
  <c r="P122" i="2"/>
  <c r="P116" i="2"/>
  <c r="P70" i="2"/>
  <c r="M158" i="2"/>
  <c r="P158" i="2" s="1"/>
  <c r="M98" i="2"/>
  <c r="P98" i="2" s="1"/>
  <c r="P34" i="2"/>
  <c r="P63" i="2"/>
  <c r="M166" i="2"/>
  <c r="P166" i="2" s="1"/>
  <c r="M103" i="2"/>
  <c r="M14" i="2"/>
  <c r="P93" i="2"/>
  <c r="P18" i="2"/>
  <c r="M75" i="2"/>
  <c r="P75" i="2" s="1"/>
  <c r="M39" i="2"/>
  <c r="P39" i="2" s="1"/>
  <c r="P24" i="2"/>
  <c r="P153" i="2"/>
  <c r="O9" i="2"/>
  <c r="P9" i="2" s="1"/>
  <c r="M196" i="2" l="1"/>
  <c r="P103" i="2"/>
  <c r="P14" i="2"/>
  <c r="P47" i="2"/>
  <c r="I140" i="2"/>
  <c r="I196" i="2" s="1"/>
  <c r="M206" i="2" l="1"/>
  <c r="K206" i="2"/>
  <c r="K207" i="2" s="1"/>
  <c r="C18" i="13"/>
  <c r="O140" i="2"/>
  <c r="O206" i="2" s="1"/>
  <c r="E9" i="13"/>
  <c r="E22" i="13" s="1"/>
  <c r="E24" i="13" l="1"/>
  <c r="P140" i="2"/>
  <c r="M207" i="2"/>
  <c r="M208" i="2" s="1"/>
  <c r="E18" i="13"/>
  <c r="F20" i="13" s="1"/>
  <c r="M38" i="6" l="1"/>
  <c r="P5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<sst xmlns="http://schemas.openxmlformats.org/spreadsheetml/2006/main" count="1339" uniqueCount="809">
  <si>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</si>
  <si>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</si>
  <si>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</si>
  <si>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</si>
  <si>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</si>
  <si>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</si>
  <si>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</si>
  <si>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</si>
  <si>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</si>
  <si>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</si>
  <si>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</si>
  <si>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</si>
  <si>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</si>
  <si>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</si>
  <si>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</si>
  <si>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</si>
  <si>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</si>
  <si>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</si>
  <si>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</si>
  <si>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</si>
  <si>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</si>
  <si>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</si>
  <si>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</si>
  <si>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</si>
  <si>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</si>
  <si>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</si>
  <si>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</si>
  <si>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</si>
  <si>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</si>
  <si>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</si>
  <si>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</si>
  <si>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</si>
  <si>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</si>
  <si>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</si>
  <si>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</si>
  <si>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</si>
  <si>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</si>
  <si>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</si>
  <si>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</si>
  <si>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</si>
  <si>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</si>
  <si>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</si>
  <si>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</si>
  <si>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</si>
  <si>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</si>
  <si>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</si>
  <si>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</si>
  <si>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</si>
  <si>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</si>
  <si>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</si>
  <si>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</si>
  <si>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</si>
  <si>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</si>
  <si>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</si>
  <si>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</si>
  <si>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</si>
  <si>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</si>
  <si>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</si>
  <si>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</si>
  <si>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</si>
  <si>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</si>
  <si>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</si>
  <si>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</si>
  <si>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</si>
  <si>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</si>
  <si>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</si>
  <si>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</si>
  <si>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</si>
  <si>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</si>
  <si>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</si>
  <si>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</si>
  <si>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</si>
  <si>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</si>
  <si>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</si>
  <si>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</si>
  <si>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</si>
  <si>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</si>
  <si>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</si>
  <si>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</si>
  <si>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</si>
  <si>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</si>
  <si>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</si>
  <si>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</si>
  <si>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</si>
  <si>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</si>
  <si>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</si>
  <si>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</si>
  <si>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</si>
  <si>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</si>
  <si>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</si>
  <si>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</si>
  <si>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</si>
  <si>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</si>
  <si>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</si>
  <si>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</si>
  <si>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</si>
  <si>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</si>
  <si>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</si>
  <si>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</si>
  <si>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</si>
  <si>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</si>
  <si>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</si>
  <si>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</si>
  <si>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</si>
  <si>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</si>
  <si>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</si>
  <si>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</si>
  <si>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</si>
  <si>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</si>
  <si>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</si>
  <si>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</si>
  <si>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</si>
  <si>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</si>
  <si>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</si>
  <si>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</si>
  <si>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</si>
  <si>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</si>
  <si>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</si>
  <si>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</si>
  <si>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</si>
  <si>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</si>
  <si>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</si>
  <si>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</si>
  <si>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</si>
  <si>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</si>
  <si>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</si>
  <si>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</si>
  <si>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</si>
  <si>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</si>
  <si>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</si>
  <si>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</si>
  <si>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</si>
  <si>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</si>
  <si>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</si>
  <si>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</si>
  <si>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</si>
  <si>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</si>
  <si>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</si>
  <si>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</si>
  <si>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</si>
  <si>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</si>
  <si>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</si>
  <si>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</si>
  <si>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</si>
  <si>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</si>
  <si>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</si>
  <si>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</si>
  <si>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</si>
  <si>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</si>
  <si>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</si>
  <si>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</si>
  <si>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</si>
  <si>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</si>
  <si>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</si>
  <si>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</si>
  <si>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</si>
  <si>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</si>
  <si>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</si>
  <si>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</si>
  <si>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</si>
  <si>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</si>
  <si>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</si>
  <si>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</si>
  <si>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</si>
  <si>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</si>
  <si>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</si>
  <si>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</si>
  <si>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</si>
  <si>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</si>
  <si>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</si>
  <si>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</si>
  <si>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</si>
  <si>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</si>
  <si>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</si>
  <si>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</si>
  <si>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</si>
  <si>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</si>
  <si>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</si>
  <si>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</si>
  <si>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</si>
  <si>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</si>
  <si>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</si>
  <si>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</si>
  <si>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</si>
  <si>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</si>
  <si>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</si>
  <si>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</si>
  <si>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</si>
  <si>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</si>
  <si>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</si>
  <si>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</si>
  <si>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</si>
  <si>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</si>
  <si>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</si>
  <si>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</si>
  <si>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</si>
  <si>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</si>
  <si>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</si>
  <si>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</si>
  <si>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</si>
  <si>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</si>
  <si>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</si>
  <si>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</si>
  <si>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</si>
  <si>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</si>
  <si>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</si>
  <si>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</si>
  <si>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</si>
  <si>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</si>
  <si>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</si>
  <si>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</si>
  <si>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</si>
  <si>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</si>
  <si>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</si>
  <si>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</si>
  <si>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</si>
  <si>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</si>
  <si>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</si>
  <si>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</si>
  <si>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</si>
  <si>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</si>
  <si>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</si>
  <si>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</si>
  <si>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</si>
  <si>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</si>
  <si>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</si>
  <si>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</si>
  <si>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</si>
  <si>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</si>
  <si>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</si>
  <si>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</si>
  <si>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</si>
  <si>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</si>
  <si>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</si>
  <si>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</si>
  <si>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</si>
  <si>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</si>
  <si>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</si>
  <si>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</si>
  <si>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</si>
  <si>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</si>
  <si>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</si>
  <si>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</si>
  <si>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</si>
  <si>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</si>
  <si>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</si>
  <si>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</si>
  <si>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</si>
  <si>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</si>
  <si>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</si>
  <si>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</si>
  <si>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</si>
  <si>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</si>
  <si>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</si>
  <si>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</si>
  <si>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</si>
  <si>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</si>
  <si>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</si>
  <si>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</si>
  <si>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</si>
  <si>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</si>
  <si>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</si>
  <si>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</si>
  <si>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</si>
  <si>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</si>
  <si>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</si>
  <si>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</si>
  <si>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</si>
  <si>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</si>
  <si>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</si>
  <si>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</si>
  <si>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</si>
  <si>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</si>
  <si>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</si>
  <si>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</si>
  <si>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</si>
  <si>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</si>
  <si>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</si>
  <si>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</si>
  <si>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</si>
  <si>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</si>
  <si>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</si>
  <si>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</si>
  <si>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</si>
  <si>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</si>
  <si>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</si>
  <si>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</si>
  <si>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</si>
  <si>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</si>
  <si>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</si>
  <si>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</si>
  <si>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</si>
  <si>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</si>
  <si>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</si>
  <si>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</si>
  <si>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</si>
  <si>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</si>
  <si>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</si>
  <si>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</si>
  <si>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</si>
  <si>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</si>
  <si>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</si>
  <si>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</si>
  <si>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</si>
  <si>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</si>
  <si>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</si>
  <si>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</si>
  <si>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</si>
  <si>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</si>
  <si>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</si>
  <si>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</si>
  <si>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</si>
  <si>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</si>
  <si>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</si>
  <si>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</si>
  <si>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</si>
  <si>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</si>
  <si>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</si>
  <si>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</si>
  <si>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</si>
  <si>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</si>
  <si>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</si>
  <si>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</si>
  <si>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</si>
  <si>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</si>
  <si>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</si>
  <si>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</si>
  <si>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</si>
  <si>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</si>
  <si>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</si>
  <si>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</si>
  <si>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</si>
  <si>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</si>
  <si>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</si>
  <si>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</si>
  <si>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</si>
  <si>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</si>
  <si>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</si>
  <si>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</si>
  <si>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</si>
  <si>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</si>
  <si>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</si>
  <si>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</si>
  <si>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</si>
  <si>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</si>
  <si>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</si>
  <si>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</si>
  <si>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</si>
  <si>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</si>
  <si>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</si>
  <si>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</si>
  <si>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</si>
  <si>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</si>
  <si>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</si>
  <si>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</si>
  <si>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</si>
  <si>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</si>
  <si>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</si>
  <si>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</si>
  <si>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</si>
  <si>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</si>
  <si>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</si>
  <si>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</si>
  <si>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</si>
  <si>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</si>
  <si>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</si>
  <si>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</si>
  <si>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</si>
  <si>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</si>
  <si>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</si>
  <si>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</si>
  <si>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</si>
  <si>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</si>
  <si>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</si>
  <si>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</si>
  <si>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</si>
  <si>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</si>
  <si>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</si>
  <si>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</si>
  <si>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</si>
  <si>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</si>
  <si>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</si>
  <si>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</si>
  <si>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</si>
  <si>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</si>
  <si>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</si>
  <si>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</si>
  <si>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</si>
  <si>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</si>
  <si>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</si>
  <si>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</si>
  <si>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</si>
  <si>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</si>
  <si>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</si>
  <si>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</si>
  <si>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</si>
  <si>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</si>
  <si>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</si>
  <si>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</si>
  <si>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</si>
  <si>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</si>
  <si>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</si>
  <si>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</si>
  <si>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</si>
  <si>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</si>
  <si>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</si>
  <si>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</si>
  <si>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</si>
  <si>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</si>
  <si>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</si>
  <si>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</si>
  <si>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</si>
  <si>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</si>
  <si>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</si>
  <si>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</si>
  <si>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</si>
  <si>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</si>
  <si>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</si>
  <si>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</si>
  <si>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</si>
  <si>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</si>
  <si>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</si>
  <si>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</si>
  <si>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</si>
  <si>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</si>
  <si>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</si>
  <si>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</si>
  <si>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</si>
  <si>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</si>
  <si>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</si>
  <si>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</si>
  <si>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</si>
  <si>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</si>
  <si>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</si>
  <si>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</si>
  <si>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</si>
  <si>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</si>
  <si>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</si>
  <si>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</si>
  <si>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</si>
  <si>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</si>
  <si>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</si>
  <si>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</si>
  <si>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</si>
  <si>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</si>
  <si>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</si>
  <si>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</si>
  <si>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</si>
  <si>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</si>
  <si>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</si>
  <si>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</si>
  <si>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</si>
  <si>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</si>
  <si>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</si>
  <si>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</si>
  <si>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</si>
  <si>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</si>
  <si>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</si>
  <si>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</si>
  <si>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</si>
  <si>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</si>
  <si>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</si>
  <si>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</si>
  <si>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</si>
  <si>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</si>
  <si>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</si>
  <si>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</si>
  <si>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</si>
  <si>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</si>
  <si>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</si>
  <si>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</si>
  <si>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</si>
  <si>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</si>
  <si>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</si>
  <si>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</si>
  <si>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</si>
  <si>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</si>
  <si>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</si>
  <si>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</si>
  <si>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</si>
  <si>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</si>
  <si>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</si>
  <si>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</si>
  <si>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</si>
  <si>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</si>
  <si>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</si>
  <si>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</si>
  <si>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</si>
  <si>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</si>
  <si>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</si>
  <si>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</si>
  <si>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</si>
  <si>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</si>
  <si>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</si>
  <si>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</si>
  <si>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</si>
  <si>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</si>
  <si>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</si>
  <si>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</si>
  <si>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</si>
  <si>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</si>
  <si>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</si>
  <si>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</si>
  <si>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</si>
  <si>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</si>
  <si>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</si>
  <si>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</si>
  <si>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</si>
  <si>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</si>
  <si>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</si>
  <si>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</si>
  <si>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</si>
  <si>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</si>
  <si>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</si>
  <si>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</si>
  <si>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</si>
  <si>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</si>
  <si>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</si>
  <si>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</si>
  <si>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</si>
  <si>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</si>
  <si>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</si>
  <si>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</si>
  <si>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</si>
  <si>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</si>
  <si>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</si>
  <si>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</si>
  <si>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</si>
  <si>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</si>
  <si>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</si>
  <si>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</si>
  <si>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</si>
  <si>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</si>
  <si>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</si>
  <si>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</si>
  <si>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</si>
  <si>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</si>
  <si>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</si>
  <si>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</si>
  <si>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</si>
  <si>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</si>
  <si>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</si>
  <si>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</si>
  <si>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</si>
  <si>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</si>
  <si>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</si>
  <si>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</si>
  <si>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</si>
  <si>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</si>
  <si>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</si>
  <si>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</si>
  <si>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</si>
  <si>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</si>
  <si>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</si>
  <si>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</si>
  <si>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</si>
  <si>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</si>
  <si>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</si>
  <si>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</si>
  <si>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</si>
  <si>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</si>
  <si>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</si>
  <si>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</si>
  <si>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</si>
  <si>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</si>
  <si>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</si>
  <si>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</si>
  <si>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</si>
  <si>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</si>
  <si>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</si>
  <si>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</si>
  <si>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</si>
  <si>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</si>
  <si>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</si>
  <si>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</si>
  <si>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</si>
  <si>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</si>
  <si>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</si>
  <si>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</si>
  <si>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</si>
  <si>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</si>
  <si>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</si>
  <si>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</si>
  <si>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</si>
  <si>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</si>
  <si>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</si>
  <si>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</si>
  <si>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</si>
  <si>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</si>
  <si>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</si>
  <si>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</si>
  <si>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</si>
  <si>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</si>
  <si>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</si>
  <si>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</si>
  <si>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</si>
  <si>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</si>
  <si>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</si>
  <si>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</si>
  <si>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</si>
  <si>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</si>
  <si>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</si>
  <si>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</si>
  <si>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</si>
  <si>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</si>
  <si>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</si>
  <si>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</si>
  <si>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</si>
  <si>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</si>
  <si>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</si>
  <si>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</si>
  <si>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</si>
  <si>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</si>
  <si>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</si>
  <si>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</si>
  <si>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</si>
  <si>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</si>
  <si>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</si>
  <si>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</si>
  <si>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</si>
  <si>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</si>
  <si>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</si>
  <si>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</si>
  <si>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</si>
  <si>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</si>
  <si>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</si>
  <si>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</si>
  <si>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</si>
  <si>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</si>
  <si>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</si>
  <si>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</si>
  <si>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</si>
  <si>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</si>
  <si>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</si>
  <si>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</si>
  <si>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</si>
  <si>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</si>
  <si>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</si>
  <si>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</si>
  <si>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</si>
  <si>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</si>
  <si>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</si>
  <si>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</si>
  <si>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</si>
  <si>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</si>
  <si>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</si>
  <si>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</si>
  <si>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</si>
  <si>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</si>
  <si>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</si>
  <si>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</si>
  <si>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</si>
  <si>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</si>
  <si>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</si>
  <si>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</si>
  <si>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</si>
  <si>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</si>
  <si>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</si>
  <si>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</si>
  <si>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</si>
  <si>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</si>
  <si>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</si>
  <si>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</si>
  <si>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</si>
  <si>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</si>
  <si>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</si>
  <si>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</si>
  <si>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</si>
  <si>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</si>
  <si>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</si>
  <si>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</si>
  <si>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</si>
  <si>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</si>
  <si>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</si>
  <si>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</si>
  <si>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</si>
  <si>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</si>
  <si>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</si>
  <si>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</si>
  <si>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</si>
  <si>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</si>
  <si>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</si>
  <si>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</si>
  <si>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</si>
  <si>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</si>
  <si>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</si>
  <si>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</si>
  <si>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</si>
  <si>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</si>
  <si>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</si>
  <si>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</si>
  <si>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</si>
  <si>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</si>
  <si>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</si>
  <si>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</si>
  <si>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</si>
  <si>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</si>
  <si>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</si>
  <si>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</si>
  <si>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</si>
  <si>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</si>
  <si>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</si>
  <si>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</si>
  <si>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</si>
  <si>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</si>
  <si>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</si>
  <si>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</si>
  <si>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</si>
  <si>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</si>
  <si>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</si>
  <si>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</si>
  <si>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</si>
  <si>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</si>
  <si>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</si>
  <si>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</si>
  <si>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</si>
  <si>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</si>
  <si>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</si>
  <si>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</si>
  <si>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</si>
  <si>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</si>
  <si>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</si>
  <si>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</si>
  <si>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</si>
  <si>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</si>
  <si>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</si>
  <si>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</si>
  <si>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</si>
  <si>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</si>
  <si>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</si>
  <si>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</si>
  <si>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</si>
  <si>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</si>
  <si>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</si>
  <si>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</si>
  <si>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</si>
  <si>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</si>
  <si>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</si>
  <si>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</si>
  <si>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</si>
  <si>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</si>
  <si>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</si>
  <si>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</si>
  <si>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</si>
  <si>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</si>
  <si>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</si>
  <si>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</si>
  <si>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</si>
  <si>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</si>
  <si>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</si>
  <si>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</si>
  <si>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</si>
  <si>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</si>
  <si>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</si>
  <si>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</si>
  <si>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</si>
  <si>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</si>
  <si>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</si>
  <si>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</si>
  <si>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</si>
  <si>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</si>
  <si>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</si>
  <si>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</si>
  <si>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</si>
  <si>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</si>
  <si>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</si>
  <si>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</si>
  <si>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</si>
  <si>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</si>
  <si>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</si>
  <si>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</si>
  <si>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</si>
  <si>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</si>
  <si>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</si>
  <si>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</si>
  <si>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</si>
  <si>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</si>
  <si>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</si>
  <si>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</si>
  <si>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</si>
  <si>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</si>
  <si>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</si>
  <si>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</si>
  <si>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</si>
  <si>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</si>
  <si>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</si>
  <si>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</si>
  <si>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</si>
  <si>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</si>
  <si>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</si>
  <si>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</si>
  <si>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</si>
  <si>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PAGO DEL MES DE NOVIEMBRE 2020</t>
  </si>
  <si>
    <t>H. Ayuntamiento de Hostotipaquillo Jal 2018-2021 Nomina Correspondiente al mes de Noviembre  2020</t>
  </si>
  <si>
    <t>DIRECTOR DE DEPORTE</t>
  </si>
  <si>
    <t>AGUSTIN GONZALEZ PIZ</t>
  </si>
  <si>
    <t>NOMINA DE REGIDORES DEL 16 AL 30 DE NOVIEMBRE DE 2020</t>
  </si>
  <si>
    <t>NOMINA PERSONAL PERMANENTE DEL 16 AL 30 DE NOVIEMBRE  2020</t>
  </si>
  <si>
    <t>NOMINA PERSONAL PERMANENTE DE 16 AL 30 DE NOVIEMBRE  2020</t>
  </si>
  <si>
    <t>NOMINA PERSONAL PERMANENTE DEL 16 AL 30 NOVIEMBRE  2020</t>
  </si>
  <si>
    <t>NOMINA PERSONAL PERMANENTE DEL 16 AL 30  DE NOVIEMBRE DE   2020</t>
  </si>
  <si>
    <t>NOMINA PERSONAL PERMANENTE DEL 16 AL 30 DE NOVIEMBRE 2020</t>
  </si>
  <si>
    <t>NOMINA  DEL 16 AL 30 DE NOVIEMBRE  2020</t>
  </si>
  <si>
    <t>NOMINA DEL 16  AL 30 DE NOVIEMBRE  DE 2020</t>
  </si>
  <si>
    <t>NOMINA DEL 16  AL 30 DE NOVIEMBRE  DEL 2020</t>
  </si>
  <si>
    <t>NOMINA DE PENSIONADOS DEL 16 AL 30  DE NOVIEMBRE   2020</t>
  </si>
  <si>
    <t>pidio permiso de 3 dias 25,26,27</t>
  </si>
  <si>
    <t xml:space="preserve">                DEL 16 AL 30 DE NOVIEMBRE  DEL 2020</t>
  </si>
  <si>
    <t>REBAJAR 1 DIA 27 DE NOIEMBRE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</si>
</sst>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03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0" fontId="32" fillId="18" borderId="0" xfId="0" applyFont="1" applyFill="1" applyAlignment="1">
      <alignment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44" fontId="0" fillId="16" borderId="5" xfId="0" applyNumberFormat="1" applyFill="1" applyBorder="1"/>
    <xf numFmtId="44" fontId="0" fillId="6" borderId="5" xfId="0" applyNumberFormat="1" applyFill="1" applyBorder="1"/>
    <xf numFmtId="0" fontId="0" fillId="17" borderId="0" xfId="0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84" fillId="0" borderId="0" xfId="0" applyFont="1"/>
    <xf numFmtId="0" fontId="34" fillId="19" borderId="9" xfId="0" applyFont="1" applyFill="1" applyBorder="1"/>
    <xf numFmtId="44" fontId="13" fillId="16" borderId="5" xfId="2" applyFont="1" applyFill="1" applyBorder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164" fontId="39" fillId="21" borderId="5" xfId="0" applyNumberFormat="1" applyFont="1" applyFill="1" applyBorder="1" applyAlignment="1">
      <alignment vertical="center"/>
    </xf>
    <xf numFmtId="164" fontId="1" fillId="21" borderId="5" xfId="0" applyNumberFormat="1" applyFont="1" applyFill="1" applyBorder="1" applyAlignment="1">
      <alignment vertical="center"/>
    </xf>
    <xf numFmtId="49" fontId="5" fillId="16" borderId="27" xfId="0" applyNumberFormat="1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7" fillId="16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83" fillId="0" borderId="0" xfId="1" applyFont="1" applyFill="1" applyAlignment="1">
      <alignment vertical="center"/>
    </xf>
    <xf numFmtId="43" fontId="15" fillId="3" borderId="0" xfId="1" applyFont="1" applyFill="1" applyBorder="1" applyAlignment="1">
      <alignment vertical="center"/>
    </xf>
    <xf numFmtId="43" fontId="15" fillId="3" borderId="0" xfId="1" applyFont="1" applyFill="1" applyAlignment="1">
      <alignment vertical="center"/>
    </xf>
    <xf numFmtId="0" fontId="86" fillId="0" borderId="0" xfId="0" applyFont="1"/>
    <xf numFmtId="44" fontId="13" fillId="7" borderId="5" xfId="2" applyFont="1" applyFill="1" applyBorder="1" applyAlignment="1">
      <alignment vertical="center"/>
    </xf>
    <xf numFmtId="0" fontId="1" fillId="22" borderId="0" xfId="0" applyFont="1" applyFill="1" applyAlignment="1">
      <alignment vertical="center"/>
    </xf>
    <xf numFmtId="43" fontId="1" fillId="22" borderId="0" xfId="0" applyNumberFormat="1" applyFont="1" applyFill="1" applyAlignment="1">
      <alignment horizontal="right" vertical="center"/>
    </xf>
    <xf numFmtId="43" fontId="5" fillId="0" borderId="5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9" borderId="0" xfId="0" applyFont="1" applyFill="1" applyAlignment="1">
      <alignment vertical="center"/>
    </xf>
    <xf numFmtId="43" fontId="1" fillId="19" borderId="0" xfId="0" applyNumberFormat="1" applyFont="1" applyFill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21" borderId="5" xfId="0" applyFont="1" applyFill="1" applyBorder="1" applyAlignment="1">
      <alignment horizontal="right" vertical="center"/>
    </xf>
    <xf numFmtId="0" fontId="43" fillId="21" borderId="5" xfId="0" applyFon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FFEBF2"/>
      <color rgb="FFFFDDE8"/>
      <color rgb="FFFFC5D8"/>
      <color rgb="FFFFFAEB"/>
      <color rgb="FFFDFEF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74</xdr:row>
      <xdr:rowOff>31402</xdr:rowOff>
    </xdr:from>
    <xdr:to>
      <xdr:col>4</xdr:col>
      <xdr:colOff>136072</xdr:colOff>
      <xdr:row>76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74</xdr:row>
      <xdr:rowOff>31401</xdr:rowOff>
    </xdr:from>
    <xdr:to>
      <xdr:col>8</xdr:col>
      <xdr:colOff>345412</xdr:colOff>
      <xdr:row>76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74</xdr:row>
      <xdr:rowOff>20934</xdr:rowOff>
    </xdr:from>
    <xdr:to>
      <xdr:col>11</xdr:col>
      <xdr:colOff>1884066</xdr:colOff>
      <xdr:row>76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73</xdr:row>
      <xdr:rowOff>177939</xdr:rowOff>
    </xdr:from>
    <xdr:to>
      <xdr:col>8</xdr:col>
      <xdr:colOff>303544</xdr:colOff>
      <xdr:row>73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73</xdr:row>
      <xdr:rowOff>177939</xdr:rowOff>
    </xdr:from>
    <xdr:to>
      <xdr:col>11</xdr:col>
      <xdr:colOff>1988735</xdr:colOff>
      <xdr:row>73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7" workbookViewId="0">
      <selection activeCell="B9" sqref="B9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36.8554687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613"/>
      <c r="D1" s="614"/>
      <c r="E1" s="614"/>
      <c r="F1" s="614"/>
      <c r="G1" s="614"/>
      <c r="H1" s="614"/>
      <c r="I1" s="318"/>
      <c r="J1" s="29"/>
      <c r="K1" s="29"/>
      <c r="L1" s="29"/>
      <c r="M1" s="29"/>
    </row>
    <row r="2" spans="2:20" ht="19.5">
      <c r="B2" s="615" t="s">
        <v>218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7"/>
    </row>
    <row r="3" spans="2:20">
      <c r="B3" s="618" t="s">
        <v>796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20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233</v>
      </c>
      <c r="F6" s="507" t="s">
        <v>4</v>
      </c>
      <c r="G6" s="507" t="s">
        <v>5</v>
      </c>
      <c r="H6" s="506" t="s">
        <v>48</v>
      </c>
      <c r="I6" s="506" t="s">
        <v>615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275</v>
      </c>
      <c r="C8" s="3" t="s">
        <v>31</v>
      </c>
      <c r="D8" s="9">
        <v>11894</v>
      </c>
      <c r="E8" s="9" t="s">
        <v>234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276</v>
      </c>
      <c r="C9" s="3" t="s">
        <v>472</v>
      </c>
      <c r="D9" s="9">
        <v>11894</v>
      </c>
      <c r="E9" s="9" t="s">
        <v>234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277</v>
      </c>
      <c r="C10" s="3" t="s">
        <v>588</v>
      </c>
      <c r="D10" s="9">
        <v>11894</v>
      </c>
      <c r="E10" s="9" t="s">
        <v>234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278</v>
      </c>
      <c r="C11" s="3" t="s">
        <v>43</v>
      </c>
      <c r="D11" s="9">
        <v>11894</v>
      </c>
      <c r="E11" s="9" t="s">
        <v>234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279</v>
      </c>
      <c r="C12" s="3" t="s">
        <v>44</v>
      </c>
      <c r="D12" s="9">
        <v>11894</v>
      </c>
      <c r="E12" s="9" t="s">
        <v>234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171" t="s">
        <v>280</v>
      </c>
      <c r="C13" s="3" t="s">
        <v>789</v>
      </c>
      <c r="D13" s="9">
        <v>11894</v>
      </c>
      <c r="E13" s="9" t="s">
        <v>234</v>
      </c>
      <c r="F13" s="9">
        <v>0</v>
      </c>
      <c r="G13" s="9">
        <f>D13</f>
        <v>11894</v>
      </c>
      <c r="H13" s="9">
        <v>0</v>
      </c>
      <c r="I13" s="9"/>
      <c r="J13" s="9">
        <v>1893.83</v>
      </c>
      <c r="K13" s="9">
        <f t="shared" si="0"/>
        <v>1893.83</v>
      </c>
      <c r="L13" s="172">
        <f t="shared" si="1"/>
        <v>10000.17</v>
      </c>
      <c r="M13" s="137"/>
      <c r="N13" s="335"/>
      <c r="P13" s="170"/>
    </row>
    <row r="14" spans="2:20" ht="39.950000000000003" customHeight="1">
      <c r="B14" s="171" t="s">
        <v>281</v>
      </c>
      <c r="C14" s="3" t="s">
        <v>35</v>
      </c>
      <c r="D14" s="9">
        <v>11894</v>
      </c>
      <c r="E14" s="9" t="s">
        <v>234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282</v>
      </c>
      <c r="C15" s="3" t="s">
        <v>33</v>
      </c>
      <c r="D15" s="9">
        <v>11894</v>
      </c>
      <c r="E15" s="9" t="s">
        <v>234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230</v>
      </c>
    </row>
    <row r="16" spans="2:20" ht="39.950000000000003" customHeight="1">
      <c r="B16" s="171" t="s">
        <v>283</v>
      </c>
      <c r="C16" s="3" t="s">
        <v>34</v>
      </c>
      <c r="D16" s="9">
        <v>11894</v>
      </c>
      <c r="E16" s="9" t="s">
        <v>234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>I16+J16</f>
        <v>3893.83</v>
      </c>
      <c r="L16" s="172">
        <f>G16-K16</f>
        <v>8000.17</v>
      </c>
      <c r="M16" s="3"/>
      <c r="P16" s="170"/>
      <c r="S16" s="173">
        <v>262038.17</v>
      </c>
      <c r="T16" s="168" t="s">
        <v>219</v>
      </c>
    </row>
    <row r="17" spans="2:20" ht="39.950000000000003" customHeight="1">
      <c r="B17" s="171" t="s">
        <v>284</v>
      </c>
      <c r="C17" s="3" t="s">
        <v>613</v>
      </c>
      <c r="D17" s="9">
        <v>11894</v>
      </c>
      <c r="E17" s="9" t="s">
        <v>235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20938.300000000003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231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232</v>
      </c>
    </row>
    <row r="22" spans="2:20">
      <c r="B22" s="621" t="s">
        <v>459</v>
      </c>
      <c r="C22" s="621"/>
      <c r="D22" s="181"/>
      <c r="F22" s="622" t="s">
        <v>45</v>
      </c>
      <c r="G22" s="622"/>
      <c r="H22" s="622"/>
      <c r="I22" s="622"/>
      <c r="J22" s="622"/>
      <c r="L22" s="622" t="s">
        <v>626</v>
      </c>
      <c r="M22" s="622"/>
      <c r="N22" s="6"/>
      <c r="P22" s="115"/>
      <c r="Q22" s="115"/>
      <c r="S22" s="174"/>
    </row>
    <row r="23" spans="2:20">
      <c r="B23" s="622" t="s">
        <v>150</v>
      </c>
      <c r="C23" s="622"/>
      <c r="D23" s="6"/>
      <c r="F23" s="622" t="s">
        <v>443</v>
      </c>
      <c r="G23" s="622"/>
      <c r="H23" s="622"/>
      <c r="I23" s="622"/>
      <c r="J23" s="622"/>
      <c r="L23" s="622" t="s">
        <v>30</v>
      </c>
      <c r="M23" s="622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220</v>
      </c>
    </row>
    <row r="26" spans="2:20">
      <c r="P26" s="170"/>
    </row>
    <row r="27" spans="2:20">
      <c r="L27" s="295">
        <f>G18-I18-J18</f>
        <v>98001.7</v>
      </c>
      <c r="P27" s="170"/>
      <c r="S27" s="173">
        <v>103878.79</v>
      </c>
      <c r="T27" s="168" t="s">
        <v>229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271</v>
      </c>
    </row>
    <row r="30" spans="2:20">
      <c r="P30" s="179"/>
      <c r="S30" s="180">
        <f>SUM(S15:S29)</f>
        <v>806112.31</v>
      </c>
      <c r="T30" s="168" t="s">
        <v>272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4"/>
  <sheetViews>
    <sheetView topLeftCell="A4" workbookViewId="0">
      <selection activeCell="F12" sqref="F12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89" t="s">
        <v>582</v>
      </c>
      <c r="D2" s="689"/>
      <c r="E2" s="689"/>
      <c r="F2" s="689"/>
      <c r="G2" s="689"/>
      <c r="H2" s="689"/>
      <c r="I2" s="689"/>
      <c r="J2" s="689"/>
      <c r="K2" s="274"/>
    </row>
    <row r="3" spans="3:12" ht="42.75">
      <c r="C3" s="690" t="s">
        <v>792</v>
      </c>
      <c r="D3" s="690"/>
      <c r="E3" s="690"/>
      <c r="F3" s="690"/>
      <c r="G3" s="690"/>
      <c r="H3" s="690"/>
      <c r="I3" s="690"/>
      <c r="J3" s="338"/>
      <c r="K3" s="199"/>
    </row>
    <row r="4" spans="3:12" ht="18.75">
      <c r="C4" s="691" t="s">
        <v>362</v>
      </c>
      <c r="D4" s="693" t="s">
        <v>52</v>
      </c>
      <c r="E4" s="693"/>
      <c r="F4" s="693"/>
      <c r="G4" s="197"/>
      <c r="H4" s="197" t="s">
        <v>688</v>
      </c>
      <c r="I4" s="197"/>
      <c r="J4" s="183"/>
      <c r="K4" s="183"/>
    </row>
    <row r="5" spans="3:12" ht="18.75">
      <c r="C5" s="692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361</v>
      </c>
      <c r="K5" s="275" t="s">
        <v>570</v>
      </c>
    </row>
    <row r="6" spans="3:12">
      <c r="C6" s="192">
        <v>1</v>
      </c>
      <c r="D6" s="195" t="s">
        <v>325</v>
      </c>
      <c r="E6" s="195" t="s">
        <v>352</v>
      </c>
      <c r="F6" s="191" t="s">
        <v>351</v>
      </c>
      <c r="G6" s="195" t="s">
        <v>350</v>
      </c>
      <c r="H6" s="195">
        <v>122</v>
      </c>
      <c r="I6" s="194" t="s">
        <v>359</v>
      </c>
      <c r="J6" s="420">
        <v>1102</v>
      </c>
      <c r="K6" s="193"/>
    </row>
    <row r="7" spans="3:12">
      <c r="C7" s="192">
        <v>2</v>
      </c>
      <c r="D7" s="195" t="s">
        <v>338</v>
      </c>
      <c r="E7" s="195" t="s">
        <v>333</v>
      </c>
      <c r="F7" s="195" t="s">
        <v>337</v>
      </c>
      <c r="G7" s="195" t="s">
        <v>336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657</v>
      </c>
      <c r="E8" s="195" t="s">
        <v>658</v>
      </c>
      <c r="F8" s="195" t="s">
        <v>659</v>
      </c>
      <c r="G8" s="195" t="s">
        <v>335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349</v>
      </c>
      <c r="E9" s="195" t="s">
        <v>480</v>
      </c>
      <c r="F9" s="195" t="s">
        <v>479</v>
      </c>
      <c r="G9" s="195" t="s">
        <v>689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321</v>
      </c>
      <c r="E10" s="195" t="s">
        <v>320</v>
      </c>
      <c r="F10" s="191" t="s">
        <v>319</v>
      </c>
      <c r="G10" s="195" t="s">
        <v>318</v>
      </c>
      <c r="H10" s="195">
        <v>122</v>
      </c>
      <c r="I10" s="194" t="s">
        <v>347</v>
      </c>
      <c r="J10" s="420">
        <v>1102</v>
      </c>
      <c r="K10" s="306"/>
      <c r="L10" s="339"/>
    </row>
    <row r="11" spans="3:12">
      <c r="C11" s="192">
        <v>6</v>
      </c>
      <c r="D11" s="191" t="s">
        <v>317</v>
      </c>
      <c r="E11" s="191" t="s">
        <v>316</v>
      </c>
      <c r="F11" s="191" t="s">
        <v>315</v>
      </c>
      <c r="G11" s="191" t="s">
        <v>314</v>
      </c>
      <c r="H11" s="195">
        <v>122</v>
      </c>
      <c r="I11" s="194" t="s">
        <v>342</v>
      </c>
      <c r="J11" s="420">
        <v>1102</v>
      </c>
      <c r="K11" s="193"/>
    </row>
    <row r="12" spans="3:12">
      <c r="C12" s="192">
        <v>7</v>
      </c>
      <c r="D12" s="195" t="s">
        <v>564</v>
      </c>
      <c r="E12" s="195" t="s">
        <v>565</v>
      </c>
      <c r="F12" s="195" t="s">
        <v>566</v>
      </c>
      <c r="G12" s="195" t="s">
        <v>567</v>
      </c>
      <c r="H12" s="195">
        <v>122</v>
      </c>
      <c r="I12" s="194" t="s">
        <v>339</v>
      </c>
      <c r="J12" s="420">
        <v>1646</v>
      </c>
      <c r="K12" s="193"/>
    </row>
    <row r="13" spans="3:12">
      <c r="C13" s="192">
        <v>8</v>
      </c>
      <c r="D13" s="195" t="s">
        <v>597</v>
      </c>
      <c r="E13" s="195" t="s">
        <v>352</v>
      </c>
      <c r="F13" s="195" t="s">
        <v>598</v>
      </c>
      <c r="G13" s="195" t="s">
        <v>599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603</v>
      </c>
      <c r="E14" s="195" t="s">
        <v>604</v>
      </c>
      <c r="F14" s="195" t="s">
        <v>337</v>
      </c>
      <c r="G14" s="195" t="s">
        <v>605</v>
      </c>
      <c r="H14" s="195">
        <v>122</v>
      </c>
      <c r="I14" s="196"/>
      <c r="J14" s="420">
        <v>1102</v>
      </c>
      <c r="K14" s="193"/>
    </row>
    <row r="15" spans="3:12">
      <c r="C15" s="556">
        <v>10</v>
      </c>
      <c r="D15" s="217" t="s">
        <v>713</v>
      </c>
      <c r="E15" s="217" t="s">
        <v>714</v>
      </c>
      <c r="F15" s="217" t="s">
        <v>715</v>
      </c>
      <c r="G15" s="217" t="s">
        <v>738</v>
      </c>
      <c r="H15" s="217">
        <v>122</v>
      </c>
      <c r="I15" s="557"/>
      <c r="J15" s="558">
        <v>1646</v>
      </c>
      <c r="K15" s="559"/>
      <c r="L15" t="s">
        <v>694</v>
      </c>
    </row>
    <row r="16" spans="3:12">
      <c r="C16" s="556">
        <v>11</v>
      </c>
      <c r="D16" s="217" t="s">
        <v>735</v>
      </c>
      <c r="E16" s="217" t="s">
        <v>736</v>
      </c>
      <c r="F16" s="217" t="s">
        <v>751</v>
      </c>
      <c r="G16" s="217" t="s">
        <v>737</v>
      </c>
      <c r="H16" s="217">
        <v>122</v>
      </c>
      <c r="I16" s="557"/>
      <c r="J16" s="558">
        <v>1500</v>
      </c>
      <c r="K16" s="559"/>
      <c r="L16" t="s">
        <v>741</v>
      </c>
    </row>
    <row r="17" spans="3:12" ht="25.5" customHeight="1" thickBot="1">
      <c r="C17" s="466">
        <v>12</v>
      </c>
      <c r="D17" s="467" t="s">
        <v>568</v>
      </c>
      <c r="E17" s="467" t="s">
        <v>564</v>
      </c>
      <c r="F17" s="467" t="s">
        <v>569</v>
      </c>
      <c r="G17" s="468" t="s">
        <v>600</v>
      </c>
      <c r="H17" s="469">
        <v>122</v>
      </c>
      <c r="I17" s="470" t="s">
        <v>330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328</v>
      </c>
      <c r="E20" s="195" t="s">
        <v>341</v>
      </c>
      <c r="F20" s="191" t="s">
        <v>576</v>
      </c>
      <c r="G20" s="195" t="s">
        <v>360</v>
      </c>
      <c r="H20" s="195">
        <v>443</v>
      </c>
      <c r="I20" s="196" t="s">
        <v>329</v>
      </c>
      <c r="J20" s="420">
        <v>1102</v>
      </c>
      <c r="K20" s="193"/>
    </row>
    <row r="21" spans="3:12">
      <c r="C21" s="192">
        <v>14</v>
      </c>
      <c r="D21" s="191" t="s">
        <v>358</v>
      </c>
      <c r="E21" s="191" t="s">
        <v>327</v>
      </c>
      <c r="F21" s="191" t="s">
        <v>357</v>
      </c>
      <c r="G21" s="195" t="s">
        <v>356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348</v>
      </c>
      <c r="H22" s="195">
        <v>443</v>
      </c>
      <c r="I22" s="194"/>
      <c r="J22" s="420"/>
      <c r="K22" s="193"/>
    </row>
    <row r="23" spans="3:12">
      <c r="C23" s="192">
        <v>16</v>
      </c>
      <c r="D23" s="195" t="s">
        <v>346</v>
      </c>
      <c r="E23" s="195" t="s">
        <v>345</v>
      </c>
      <c r="F23" s="191" t="s">
        <v>344</v>
      </c>
      <c r="G23" s="195" t="s">
        <v>343</v>
      </c>
      <c r="H23" s="195">
        <v>443</v>
      </c>
      <c r="I23" s="194"/>
      <c r="J23" s="420">
        <v>1102</v>
      </c>
      <c r="K23" s="193"/>
    </row>
    <row r="24" spans="3:12">
      <c r="C24" s="192">
        <v>17</v>
      </c>
      <c r="D24" s="195" t="s">
        <v>692</v>
      </c>
      <c r="E24" s="195" t="s">
        <v>316</v>
      </c>
      <c r="F24" s="191" t="s">
        <v>693</v>
      </c>
      <c r="G24" s="195" t="s">
        <v>340</v>
      </c>
      <c r="H24" s="195">
        <v>443</v>
      </c>
      <c r="I24" s="190"/>
      <c r="J24" s="420">
        <v>1102</v>
      </c>
      <c r="K24" s="189"/>
      <c r="L24" s="316" t="s">
        <v>694</v>
      </c>
    </row>
    <row r="25" spans="3:12">
      <c r="C25" s="418">
        <v>18</v>
      </c>
      <c r="D25" s="195" t="s">
        <v>334</v>
      </c>
      <c r="E25" s="195" t="s">
        <v>333</v>
      </c>
      <c r="F25" s="191" t="s">
        <v>332</v>
      </c>
      <c r="G25" s="195" t="s">
        <v>331</v>
      </c>
      <c r="H25" s="195">
        <v>443</v>
      </c>
      <c r="I25" s="194"/>
      <c r="J25" s="420">
        <v>1102</v>
      </c>
      <c r="K25" s="189"/>
    </row>
    <row r="26" spans="3:12">
      <c r="C26" s="418">
        <v>19</v>
      </c>
      <c r="D26" s="419" t="s">
        <v>328</v>
      </c>
      <c r="E26" s="419" t="s">
        <v>631</v>
      </c>
      <c r="F26" s="419" t="s">
        <v>644</v>
      </c>
      <c r="G26" s="195" t="s">
        <v>326</v>
      </c>
      <c r="H26" s="195">
        <v>443</v>
      </c>
      <c r="I26" s="194"/>
      <c r="J26" s="420">
        <v>1102</v>
      </c>
      <c r="K26" s="189"/>
    </row>
    <row r="27" spans="3:12" ht="15.75" thickBot="1">
      <c r="C27" s="477">
        <v>20</v>
      </c>
      <c r="D27" s="469" t="s">
        <v>325</v>
      </c>
      <c r="E27" s="469" t="s">
        <v>324</v>
      </c>
      <c r="F27" s="467" t="s">
        <v>323</v>
      </c>
      <c r="G27" s="469" t="s">
        <v>322</v>
      </c>
      <c r="H27" s="469">
        <v>443</v>
      </c>
      <c r="I27" s="478"/>
      <c r="J27" s="485">
        <v>1102</v>
      </c>
      <c r="K27" s="479"/>
      <c r="L27" s="339"/>
    </row>
    <row r="28" spans="3:12" ht="15.75" thickTop="1">
      <c r="C28" s="460"/>
      <c r="D28" s="228"/>
      <c r="E28" s="228"/>
      <c r="F28" s="461"/>
      <c r="G28" s="228"/>
      <c r="H28" s="228"/>
      <c r="I28" s="476"/>
      <c r="J28" s="480">
        <f>SUM(J20:J27)</f>
        <v>7714</v>
      </c>
      <c r="K28" s="474"/>
      <c r="L28" s="339"/>
    </row>
    <row r="29" spans="3:12">
      <c r="C29" s="460"/>
      <c r="D29" s="228"/>
      <c r="E29" s="228"/>
      <c r="F29" s="461"/>
      <c r="G29" s="228"/>
      <c r="H29" s="228"/>
      <c r="I29" s="476"/>
      <c r="J29" s="475"/>
      <c r="K29" s="474"/>
      <c r="L29" s="339"/>
    </row>
    <row r="30" spans="3:12">
      <c r="C30" s="532">
        <v>21</v>
      </c>
      <c r="D30" s="195" t="s">
        <v>317</v>
      </c>
      <c r="E30" s="195" t="s">
        <v>355</v>
      </c>
      <c r="F30" s="191" t="s">
        <v>354</v>
      </c>
      <c r="G30" s="195" t="s">
        <v>353</v>
      </c>
      <c r="H30" s="191">
        <v>445</v>
      </c>
      <c r="I30" s="190" t="s">
        <v>601</v>
      </c>
      <c r="J30" s="306">
        <v>1092</v>
      </c>
      <c r="K30" s="189"/>
    </row>
    <row r="31" spans="3:12">
      <c r="C31" s="472"/>
      <c r="D31" s="228"/>
      <c r="E31" s="228"/>
      <c r="F31" s="461"/>
      <c r="G31" s="228"/>
      <c r="H31" s="461"/>
      <c r="I31" s="473"/>
      <c r="J31" s="480">
        <f>SUM(J30)</f>
        <v>1092</v>
      </c>
      <c r="K31" s="474"/>
    </row>
    <row r="32" spans="3:12" ht="11.25" customHeight="1">
      <c r="C32" s="472"/>
      <c r="D32" s="228"/>
      <c r="E32" s="228"/>
      <c r="F32" s="461"/>
      <c r="G32" s="228"/>
      <c r="H32" s="461"/>
      <c r="I32" s="473"/>
      <c r="J32" s="481"/>
      <c r="K32" s="474"/>
    </row>
    <row r="33" spans="3:11" ht="15.75" thickBot="1">
      <c r="C33" s="264"/>
      <c r="D33" s="264"/>
      <c r="E33" s="264"/>
      <c r="F33" s="264"/>
      <c r="G33" s="264"/>
      <c r="H33" s="482"/>
      <c r="I33" s="482"/>
      <c r="J33" s="483">
        <f>J18+J28+J31</f>
        <v>23990</v>
      </c>
      <c r="K33" s="484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C32" sqref="C32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94" t="s">
        <v>793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6"/>
    </row>
    <row r="2" spans="2:16" ht="15.75">
      <c r="B2" s="697" t="s">
        <v>420</v>
      </c>
      <c r="C2" s="697"/>
      <c r="D2" s="697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3" t="s">
        <v>157</v>
      </c>
      <c r="C3" s="205"/>
      <c r="D3" s="205"/>
      <c r="E3" s="205"/>
      <c r="F3" s="205"/>
      <c r="G3" s="206" t="s">
        <v>28</v>
      </c>
      <c r="H3" s="698" t="s">
        <v>60</v>
      </c>
      <c r="I3" s="699"/>
      <c r="J3" s="207"/>
      <c r="K3" s="208" t="s">
        <v>61</v>
      </c>
      <c r="L3" s="209"/>
      <c r="M3" s="344"/>
      <c r="N3" s="344"/>
    </row>
    <row r="4" spans="2:16" ht="15.75" customHeight="1">
      <c r="B4" s="534" t="s">
        <v>158</v>
      </c>
      <c r="C4" s="700" t="s">
        <v>52</v>
      </c>
      <c r="D4" s="701"/>
      <c r="E4" s="701"/>
      <c r="F4" s="210"/>
      <c r="G4" s="579"/>
      <c r="H4" s="543" t="s">
        <v>3</v>
      </c>
      <c r="I4" s="544" t="s">
        <v>159</v>
      </c>
      <c r="J4" s="545" t="s">
        <v>67</v>
      </c>
      <c r="K4" s="546" t="s">
        <v>421</v>
      </c>
      <c r="L4" s="547" t="s">
        <v>160</v>
      </c>
      <c r="M4" s="347" t="s">
        <v>652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422</v>
      </c>
      <c r="I5" s="540" t="s">
        <v>165</v>
      </c>
      <c r="J5" s="541" t="s">
        <v>166</v>
      </c>
      <c r="K5" s="542" t="s">
        <v>422</v>
      </c>
      <c r="L5" s="537" t="s">
        <v>168</v>
      </c>
      <c r="M5" s="346" t="s">
        <v>651</v>
      </c>
      <c r="N5" s="346" t="s">
        <v>562</v>
      </c>
    </row>
    <row r="6" spans="2:16">
      <c r="B6" s="211" t="s">
        <v>423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587</v>
      </c>
      <c r="D7" s="191" t="s">
        <v>662</v>
      </c>
      <c r="E7" s="191" t="s">
        <v>663</v>
      </c>
      <c r="F7" s="304" t="s">
        <v>749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426</v>
      </c>
      <c r="D8" s="195" t="s">
        <v>647</v>
      </c>
      <c r="E8" s="195" t="s">
        <v>648</v>
      </c>
      <c r="F8" s="195" t="s">
        <v>424</v>
      </c>
      <c r="G8" s="195" t="s">
        <v>425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426</v>
      </c>
      <c r="D9" s="195" t="s">
        <v>207</v>
      </c>
      <c r="E9" s="195" t="s">
        <v>427</v>
      </c>
      <c r="F9" s="195" t="s">
        <v>428</v>
      </c>
      <c r="G9" s="195" t="s">
        <v>429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210</v>
      </c>
      <c r="D10" s="195" t="s">
        <v>430</v>
      </c>
      <c r="E10" s="195" t="s">
        <v>431</v>
      </c>
      <c r="F10" s="357" t="s">
        <v>432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433</v>
      </c>
      <c r="D11" s="195" t="s">
        <v>434</v>
      </c>
      <c r="E11" s="195" t="s">
        <v>435</v>
      </c>
      <c r="F11" s="195" t="s">
        <v>436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437</v>
      </c>
      <c r="F12" s="195" t="s">
        <v>438</v>
      </c>
      <c r="G12" s="195" t="s">
        <v>439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587</v>
      </c>
      <c r="D13" s="195" t="s">
        <v>662</v>
      </c>
      <c r="E13" s="195" t="s">
        <v>663</v>
      </c>
      <c r="F13" s="357" t="s">
        <v>440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703</v>
      </c>
      <c r="E14" s="195" t="s">
        <v>704</v>
      </c>
      <c r="F14" s="357" t="s">
        <v>440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2">
        <f t="shared" si="1"/>
        <v>2712.42</v>
      </c>
      <c r="M14" s="352"/>
      <c r="N14" s="348">
        <f t="shared" si="0"/>
        <v>2712.42</v>
      </c>
      <c r="O14" s="317"/>
      <c r="P14" t="s">
        <v>702</v>
      </c>
    </row>
    <row r="15" spans="2:16" ht="15.75" thickBot="1">
      <c r="B15" s="218" t="s">
        <v>441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702"/>
      <c r="G18" s="702"/>
      <c r="I18" s="702"/>
      <c r="J18" s="702"/>
      <c r="K18" s="702"/>
    </row>
    <row r="19" spans="2:14">
      <c r="C19" s="227" t="s">
        <v>442</v>
      </c>
      <c r="D19" s="227"/>
      <c r="E19" s="227"/>
      <c r="F19" s="227" t="s">
        <v>626</v>
      </c>
      <c r="G19" s="227"/>
      <c r="H19" s="227"/>
      <c r="I19" s="227" t="s">
        <v>750</v>
      </c>
      <c r="J19" s="228"/>
      <c r="K19" s="229"/>
    </row>
    <row r="20" spans="2:14">
      <c r="C20" s="227" t="s">
        <v>443</v>
      </c>
      <c r="D20" s="227"/>
      <c r="E20" s="227"/>
      <c r="F20" s="227" t="s">
        <v>444</v>
      </c>
      <c r="G20" s="227"/>
      <c r="H20" s="227"/>
      <c r="I20" s="227" t="s">
        <v>445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83" t="s">
        <v>486</v>
      </c>
      <c r="D2" s="683"/>
      <c r="E2" s="683"/>
      <c r="G2" s="231" t="s">
        <v>487</v>
      </c>
    </row>
    <row r="3" spans="1:12" ht="15" customHeight="1">
      <c r="A3" s="231" t="s">
        <v>771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83" t="s">
        <v>485</v>
      </c>
      <c r="D4" s="683"/>
      <c r="E4" s="683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484</v>
      </c>
      <c r="B7" s="252" t="s">
        <v>771</v>
      </c>
      <c r="C7" s="252" t="s">
        <v>772</v>
      </c>
      <c r="D7" s="231"/>
      <c r="E7" s="251" t="s">
        <v>481</v>
      </c>
      <c r="F7" s="251" t="s">
        <v>482</v>
      </c>
      <c r="G7" s="251" t="s">
        <v>483</v>
      </c>
      <c r="H7" s="259" t="s">
        <v>468</v>
      </c>
      <c r="J7" s="259" t="s">
        <v>573</v>
      </c>
    </row>
    <row r="8" spans="1:12">
      <c r="A8" s="243" t="s">
        <v>463</v>
      </c>
      <c r="B8" s="572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464</v>
      </c>
      <c r="B9" s="572">
        <f t="shared" ref="B9:B13" si="1">C9*2</f>
        <v>584640.89999999991</v>
      </c>
      <c r="C9" s="276">
        <f>BASE!H196</f>
        <v>292320.44999999995</v>
      </c>
      <c r="D9" s="237"/>
      <c r="E9" s="239">
        <f t="shared" si="0"/>
        <v>292320.44999999995</v>
      </c>
    </row>
    <row r="10" spans="1:12">
      <c r="A10" s="243" t="s">
        <v>465</v>
      </c>
      <c r="B10" s="572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466</v>
      </c>
      <c r="B11" s="572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467</v>
      </c>
      <c r="B12" s="572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468</v>
      </c>
      <c r="B13" s="572">
        <f t="shared" si="1"/>
        <v>344984</v>
      </c>
      <c r="C13" s="276">
        <f>'NOMINA ORD. DE PAGO QUINCENAL'!I69</f>
        <v>172492</v>
      </c>
      <c r="D13" s="244"/>
      <c r="E13" s="240">
        <f t="shared" si="0"/>
        <v>172492</v>
      </c>
      <c r="J13" s="253"/>
    </row>
    <row r="14" spans="1:12">
      <c r="A14" s="243" t="s">
        <v>469</v>
      </c>
      <c r="B14" s="572">
        <f>C14</f>
        <v>23990</v>
      </c>
      <c r="C14" s="276">
        <f>'PAGO TRAB.MENSUALES'!J33</f>
        <v>23990</v>
      </c>
      <c r="D14" s="237"/>
      <c r="F14" s="239">
        <f>C14</f>
        <v>23990</v>
      </c>
    </row>
    <row r="15" spans="1:12">
      <c r="A15" s="243" t="s">
        <v>470</v>
      </c>
      <c r="B15" s="572">
        <f>C15</f>
        <v>20060.400000000001</v>
      </c>
      <c r="C15" s="184">
        <v>20060.400000000001</v>
      </c>
      <c r="D15" s="237"/>
      <c r="E15" s="253"/>
      <c r="F15" s="239"/>
      <c r="G15" s="239">
        <f>'PAGO SEMANAL'!C12</f>
        <v>5015.1000000000004</v>
      </c>
      <c r="H15" s="253"/>
    </row>
    <row r="16" spans="1:12">
      <c r="A16" s="243" t="s">
        <v>371</v>
      </c>
      <c r="B16" s="572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471</v>
      </c>
      <c r="B17" s="572" t="e">
        <f>C17</f>
        <v>#REF!</v>
      </c>
      <c r="C17" s="184" t="e">
        <f>#REF!</f>
        <v>#REF!</v>
      </c>
      <c r="D17" s="237"/>
      <c r="E17" s="248"/>
      <c r="F17" s="249" t="e">
        <f>C17</f>
        <v>#REF!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3" t="e">
        <f>SUM(B8:B17)</f>
        <v>#REF!</v>
      </c>
      <c r="C18" s="241" t="e">
        <f>SUM(C8:C17)</f>
        <v>#REF!</v>
      </c>
      <c r="D18" s="245"/>
      <c r="E18" s="242">
        <f>SUM(E8:E17)</f>
        <v>664240.59</v>
      </c>
      <c r="F18" s="242" t="e">
        <f>SUM(F8:F17)</f>
        <v>#REF!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 t="e">
        <f>E18+F18+G18</f>
        <v>#REF!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571</v>
      </c>
      <c r="E22" s="239" t="e">
        <f>E8+E9+E12+E13+F14+G15+H15+E16+F17</f>
        <v>#REF!</v>
      </c>
      <c r="L22" s="253">
        <v>23990</v>
      </c>
    </row>
    <row r="23" spans="1:12">
      <c r="C23" s="226" t="s">
        <v>572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 t="e">
        <f>SUM(E22:E23)</f>
        <v>#REF!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0"/>
  <sheetViews>
    <sheetView topLeftCell="D138" zoomScaleNormal="100" workbookViewId="0">
      <selection activeCell="R156" sqref="R156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23" t="s">
        <v>28</v>
      </c>
      <c r="D1" s="623"/>
      <c r="E1" s="623"/>
      <c r="F1" s="624"/>
      <c r="G1" s="624"/>
      <c r="H1" s="624"/>
      <c r="I1" s="624"/>
      <c r="J1" s="168"/>
    </row>
    <row r="2" spans="2:18" ht="19.5">
      <c r="B2" s="629" t="s">
        <v>218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P2" s="296">
        <f t="shared" ref="P2:P63" si="0">M2-O2</f>
        <v>0</v>
      </c>
    </row>
    <row r="3" spans="2:18" ht="15">
      <c r="B3" s="630" t="s">
        <v>797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233</v>
      </c>
      <c r="E5" s="451"/>
      <c r="F5" s="450" t="s">
        <v>3</v>
      </c>
      <c r="G5" s="452" t="s">
        <v>4</v>
      </c>
      <c r="H5" s="452" t="s">
        <v>5</v>
      </c>
      <c r="I5" s="450" t="s">
        <v>695</v>
      </c>
      <c r="J5" s="450" t="s">
        <v>614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275</v>
      </c>
      <c r="C7" s="3" t="s">
        <v>642</v>
      </c>
      <c r="D7" s="8" t="s">
        <v>236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276</v>
      </c>
      <c r="C8" s="3" t="s">
        <v>581</v>
      </c>
      <c r="D8" s="8" t="s">
        <v>237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277</v>
      </c>
      <c r="C12" s="3" t="s">
        <v>32</v>
      </c>
      <c r="D12" s="8" t="s">
        <v>589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278</v>
      </c>
      <c r="C13" s="277" t="s">
        <v>577</v>
      </c>
      <c r="D13" s="8" t="s">
        <v>238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279</v>
      </c>
      <c r="C17" s="3" t="s">
        <v>46</v>
      </c>
      <c r="D17" s="8" t="s">
        <v>239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 t="s">
        <v>280</v>
      </c>
      <c r="C22" s="3"/>
      <c r="D22" s="8" t="s">
        <v>236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281</v>
      </c>
      <c r="C23" s="3" t="s">
        <v>459</v>
      </c>
      <c r="D23" s="8" t="s">
        <v>240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613"/>
      <c r="D26" s="613"/>
      <c r="E26" s="613"/>
      <c r="F26" s="614"/>
      <c r="G26" s="614"/>
      <c r="H26" s="614"/>
      <c r="I26" s="614"/>
      <c r="J26" s="318"/>
      <c r="K26" s="29"/>
      <c r="L26" s="29"/>
      <c r="M26" s="29"/>
      <c r="N26" s="29"/>
      <c r="P26" s="296"/>
    </row>
    <row r="27" spans="2:16" ht="18" customHeight="1">
      <c r="B27" s="615" t="s">
        <v>218</v>
      </c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7"/>
      <c r="P27" s="296"/>
    </row>
    <row r="28" spans="2:16" ht="18" customHeight="1">
      <c r="B28" s="618" t="s">
        <v>798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20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595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615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282</v>
      </c>
      <c r="C32" s="298" t="s">
        <v>475</v>
      </c>
      <c r="D32" s="8" t="s">
        <v>236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283</v>
      </c>
      <c r="C33" s="3" t="s">
        <v>641</v>
      </c>
      <c r="D33" s="8" t="s">
        <v>241</v>
      </c>
      <c r="E33" s="364">
        <f>10384/2</f>
        <v>5192</v>
      </c>
      <c r="F33" s="9">
        <v>4153.59</v>
      </c>
      <c r="G33" s="9">
        <v>0</v>
      </c>
      <c r="H33" s="9">
        <f>F33</f>
        <v>4153.59</v>
      </c>
      <c r="I33" s="9"/>
      <c r="J33" s="9"/>
      <c r="K33" s="9">
        <v>392.19</v>
      </c>
      <c r="L33" s="9">
        <f>K33</f>
        <v>392.19</v>
      </c>
      <c r="M33" s="9">
        <f>H33+I33-L33-J33</f>
        <v>3761.4</v>
      </c>
      <c r="N33" s="32"/>
      <c r="O33" s="607" t="s">
        <v>806</v>
      </c>
      <c r="P33" s="608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7838.59</v>
      </c>
      <c r="G34" s="280">
        <f t="shared" ref="G34:L34" si="8">SUM(G32:G33)</f>
        <v>0</v>
      </c>
      <c r="H34" s="280">
        <f>SUM(H32:H33)</f>
        <v>7838.59</v>
      </c>
      <c r="I34" s="280">
        <f t="shared" si="8"/>
        <v>0</v>
      </c>
      <c r="J34" s="280">
        <f>SUM(J32:J33)</f>
        <v>0</v>
      </c>
      <c r="K34" s="280">
        <f>SUM(K32:K33)</f>
        <v>561.36</v>
      </c>
      <c r="L34" s="280">
        <f t="shared" si="8"/>
        <v>561.36</v>
      </c>
      <c r="M34" s="280">
        <f>SUM(M32:M33)</f>
        <v>7277.23</v>
      </c>
      <c r="N34" s="36"/>
      <c r="O34" s="293">
        <f>H34+I34-L34</f>
        <v>7277.2300000000005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284</v>
      </c>
      <c r="C37" s="3" t="s">
        <v>222</v>
      </c>
      <c r="D37" s="8" t="s">
        <v>242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372</v>
      </c>
      <c r="C38" s="3" t="s">
        <v>643</v>
      </c>
      <c r="D38" s="8" t="s">
        <v>243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373</v>
      </c>
      <c r="C43" s="3" t="s">
        <v>585</v>
      </c>
      <c r="D43" s="8" t="s">
        <v>244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374</v>
      </c>
      <c r="C44" s="3" t="s">
        <v>639</v>
      </c>
      <c r="D44" s="8" t="s">
        <v>253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375</v>
      </c>
      <c r="C45" s="238" t="s">
        <v>624</v>
      </c>
      <c r="D45" s="8" t="s">
        <v>236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376</v>
      </c>
      <c r="C46" s="3" t="s">
        <v>640</v>
      </c>
      <c r="D46" s="8" t="s">
        <v>236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377</v>
      </c>
      <c r="C51" s="3" t="s">
        <v>36</v>
      </c>
      <c r="D51" s="8" t="s">
        <v>246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378</v>
      </c>
      <c r="C52" s="3" t="s">
        <v>661</v>
      </c>
      <c r="D52" s="8" t="s">
        <v>764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3">
        <v>1500</v>
      </c>
      <c r="K52" s="9">
        <v>490.25</v>
      </c>
      <c r="L52" s="9">
        <f>J52+K52</f>
        <v>1990.25</v>
      </c>
      <c r="M52" s="9">
        <f>H52-L52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2322.85</v>
      </c>
      <c r="M53" s="281">
        <f>SUM(M51:M52)</f>
        <v>7056.15</v>
      </c>
      <c r="N53" s="44"/>
      <c r="O53" s="293">
        <f>H53+I53-L53</f>
        <v>7056.15</v>
      </c>
      <c r="P53" s="296">
        <f t="shared" si="0"/>
        <v>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615" t="s">
        <v>218</v>
      </c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7"/>
      <c r="P56" s="296"/>
    </row>
    <row r="57" spans="2:16" ht="18" customHeight="1">
      <c r="B57" s="618" t="s">
        <v>799</v>
      </c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20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379</v>
      </c>
      <c r="C61" s="3" t="s">
        <v>583</v>
      </c>
      <c r="D61" s="8" t="s">
        <v>584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13"/>
      <c r="K61" s="27">
        <v>490.25</v>
      </c>
      <c r="L61" s="27">
        <f>J61+K61</f>
        <v>490.25</v>
      </c>
      <c r="M61" s="27">
        <f>H61-L61</f>
        <v>4701.75</v>
      </c>
      <c r="N61" s="32"/>
      <c r="P61" s="296"/>
    </row>
    <row r="62" spans="2:16" ht="24.95" customHeight="1">
      <c r="B62" s="20" t="s">
        <v>380</v>
      </c>
      <c r="C62" s="3" t="s">
        <v>37</v>
      </c>
      <c r="D62" s="8" t="s">
        <v>253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/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0</v>
      </c>
      <c r="K63" s="280">
        <f>SUM(K61:K62)</f>
        <v>799.35</v>
      </c>
      <c r="L63" s="280">
        <f>SUM(L61:L62)</f>
        <v>799.35</v>
      </c>
      <c r="M63" s="280">
        <f>SUM(M61:M62)</f>
        <v>8363.65</v>
      </c>
      <c r="N63" s="46"/>
      <c r="O63" s="293">
        <f>H63+I63-L63-J63</f>
        <v>8363.65</v>
      </c>
      <c r="P63" s="296">
        <f t="shared" si="0"/>
        <v>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381</v>
      </c>
      <c r="C67" s="3" t="s">
        <v>40</v>
      </c>
      <c r="D67" s="8" t="s">
        <v>248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382</v>
      </c>
      <c r="C68" s="3" t="s">
        <v>38</v>
      </c>
      <c r="D68" s="8" t="s">
        <v>249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383</v>
      </c>
      <c r="C69" s="3" t="s">
        <v>39</v>
      </c>
      <c r="D69" s="8" t="s">
        <v>250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2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384</v>
      </c>
      <c r="C74" s="3" t="s">
        <v>474</v>
      </c>
      <c r="D74" s="8" t="s">
        <v>251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615" t="s">
        <v>218</v>
      </c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7"/>
      <c r="P80" s="296"/>
    </row>
    <row r="81" spans="2:16" ht="18" customHeight="1">
      <c r="B81" s="618" t="s">
        <v>797</v>
      </c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20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385</v>
      </c>
      <c r="C85" s="3" t="s">
        <v>446</v>
      </c>
      <c r="D85" s="8" t="s">
        <v>252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386</v>
      </c>
      <c r="C86" s="3" t="s">
        <v>447</v>
      </c>
      <c r="D86" s="8" t="s">
        <v>252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387</v>
      </c>
      <c r="C87" s="3" t="s">
        <v>448</v>
      </c>
      <c r="D87" s="8" t="s">
        <v>252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388</v>
      </c>
      <c r="C88" s="3" t="s">
        <v>449</v>
      </c>
      <c r="D88" s="8" t="s">
        <v>245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389</v>
      </c>
      <c r="C89" s="3" t="s">
        <v>450</v>
      </c>
      <c r="D89" s="8" t="s">
        <v>253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390</v>
      </c>
      <c r="C90" s="3" t="s">
        <v>451</v>
      </c>
      <c r="D90" s="8" t="s">
        <v>252</v>
      </c>
      <c r="E90" s="609">
        <f>8506/2</f>
        <v>4253</v>
      </c>
      <c r="F90" s="9">
        <v>4253</v>
      </c>
      <c r="G90" s="9">
        <v>0</v>
      </c>
      <c r="H90" s="9">
        <f t="shared" si="21"/>
        <v>4253</v>
      </c>
      <c r="I90" s="9"/>
      <c r="J90" s="9">
        <v>1000</v>
      </c>
      <c r="K90" s="9">
        <v>339.78</v>
      </c>
      <c r="L90" s="9">
        <f>J90+K90</f>
        <v>1339.78</v>
      </c>
      <c r="M90" s="9">
        <f>H90-L90</f>
        <v>2913.2200000000003</v>
      </c>
      <c r="N90" s="610"/>
      <c r="P90" s="296"/>
    </row>
    <row r="91" spans="2:16" ht="30" customHeight="1">
      <c r="B91" s="20" t="s">
        <v>391</v>
      </c>
      <c r="C91" s="3" t="s">
        <v>452</v>
      </c>
      <c r="D91" s="8" t="s">
        <v>253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392</v>
      </c>
      <c r="C92" s="3" t="s">
        <v>627</v>
      </c>
      <c r="D92" s="8" t="s">
        <v>628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42548</v>
      </c>
      <c r="G93" s="280">
        <f>SUM(G85:G92)</f>
        <v>0</v>
      </c>
      <c r="H93" s="280">
        <f>SUM(H85:H92)</f>
        <v>42548</v>
      </c>
      <c r="I93" s="280">
        <f t="shared" ref="I93" si="24">SUM(I85:I91)</f>
        <v>0</v>
      </c>
      <c r="J93" s="280">
        <f>SUM(J85:J91)</f>
        <v>1000</v>
      </c>
      <c r="K93" s="280">
        <f>SUM(K85:K92)</f>
        <v>4273.38</v>
      </c>
      <c r="L93" s="280">
        <f>SUM(L85:L92)</f>
        <v>5273.38</v>
      </c>
      <c r="M93" s="280">
        <f>SUM(M85:M92)</f>
        <v>37274.620000000003</v>
      </c>
      <c r="N93" s="46"/>
      <c r="O93" s="293">
        <f>H93+I93-L93</f>
        <v>37274.620000000003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7" ht="30" customHeight="1">
      <c r="B97" s="20" t="s">
        <v>393</v>
      </c>
      <c r="C97" s="3" t="s">
        <v>453</v>
      </c>
      <c r="D97" s="8" t="s">
        <v>254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7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7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7" ht="18" customHeight="1">
      <c r="B100" s="30"/>
      <c r="E100" s="368"/>
      <c r="N100" s="32"/>
      <c r="P100" s="296"/>
    </row>
    <row r="101" spans="2:17" ht="18" customHeight="1">
      <c r="B101" s="37" t="s">
        <v>22</v>
      </c>
      <c r="E101" s="368"/>
      <c r="N101" s="32"/>
      <c r="P101" s="296"/>
    </row>
    <row r="102" spans="2:17" ht="30" customHeight="1">
      <c r="B102" s="20" t="s">
        <v>394</v>
      </c>
      <c r="C102" s="3" t="s">
        <v>41</v>
      </c>
      <c r="D102" s="8" t="s">
        <v>256</v>
      </c>
      <c r="E102" s="364">
        <f>10384/2</f>
        <v>5192</v>
      </c>
      <c r="F102" s="9">
        <f>E102</f>
        <v>5192</v>
      </c>
      <c r="G102" s="9">
        <v>0</v>
      </c>
      <c r="H102" s="9">
        <f>F102</f>
        <v>5192</v>
      </c>
      <c r="I102" s="13"/>
      <c r="J102" s="13"/>
      <c r="K102" s="9">
        <v>490.25</v>
      </c>
      <c r="L102" s="9">
        <f>K102</f>
        <v>490.25</v>
      </c>
      <c r="M102" s="9">
        <f>H102+I102-L102-J102</f>
        <v>4701.75</v>
      </c>
      <c r="N102" s="32"/>
      <c r="P102" s="296"/>
    </row>
    <row r="103" spans="2:17" s="26" customFormat="1" ht="18" customHeight="1" thickBot="1">
      <c r="B103" s="34" t="s">
        <v>9</v>
      </c>
      <c r="C103" s="35"/>
      <c r="D103" s="35"/>
      <c r="E103" s="367"/>
      <c r="F103" s="280">
        <f t="shared" ref="F103:M103" si="26">SUM(F102:F102)</f>
        <v>5192</v>
      </c>
      <c r="G103" s="280">
        <f t="shared" si="26"/>
        <v>0</v>
      </c>
      <c r="H103" s="280">
        <f t="shared" si="26"/>
        <v>5192</v>
      </c>
      <c r="I103" s="280">
        <f t="shared" si="26"/>
        <v>0</v>
      </c>
      <c r="J103" s="280">
        <f t="shared" si="26"/>
        <v>0</v>
      </c>
      <c r="K103" s="280">
        <f t="shared" si="26"/>
        <v>490.25</v>
      </c>
      <c r="L103" s="280">
        <f t="shared" si="26"/>
        <v>490.25</v>
      </c>
      <c r="M103" s="280">
        <f t="shared" si="26"/>
        <v>4701.75</v>
      </c>
      <c r="N103" s="36"/>
      <c r="O103" s="293">
        <f>H103+I103-L103</f>
        <v>4701.75</v>
      </c>
      <c r="P103" s="296">
        <f t="shared" si="18"/>
        <v>0</v>
      </c>
    </row>
    <row r="104" spans="2:17" ht="18" customHeight="1" thickTop="1">
      <c r="B104" s="47"/>
      <c r="C104" s="48"/>
      <c r="D104" s="48"/>
      <c r="E104" s="371"/>
      <c r="F104" s="49"/>
      <c r="G104" s="49"/>
      <c r="H104" s="49"/>
      <c r="I104" s="51"/>
      <c r="J104" s="51"/>
      <c r="K104" s="49"/>
      <c r="L104" s="49"/>
      <c r="M104" s="50" t="s">
        <v>51</v>
      </c>
      <c r="N104" s="33"/>
      <c r="P104" s="296"/>
    </row>
    <row r="105" spans="2:17" ht="18" customHeight="1">
      <c r="E105" s="370"/>
      <c r="F105" s="16"/>
      <c r="G105" s="16"/>
      <c r="H105" s="16"/>
      <c r="I105" s="17"/>
      <c r="J105" s="17"/>
      <c r="K105" s="16"/>
      <c r="L105" s="16"/>
      <c r="M105" s="18"/>
      <c r="P105" s="296"/>
    </row>
    <row r="106" spans="2:17" ht="18" customHeight="1">
      <c r="B106" s="615" t="s">
        <v>218</v>
      </c>
      <c r="C106" s="616"/>
      <c r="D106" s="616"/>
      <c r="E106" s="616"/>
      <c r="F106" s="616"/>
      <c r="G106" s="616"/>
      <c r="H106" s="616"/>
      <c r="I106" s="616"/>
      <c r="J106" s="616"/>
      <c r="K106" s="616"/>
      <c r="L106" s="616"/>
      <c r="M106" s="616"/>
      <c r="N106" s="617"/>
      <c r="P106" s="296"/>
    </row>
    <row r="107" spans="2:17" ht="18" customHeight="1">
      <c r="B107" s="618" t="s">
        <v>800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20"/>
      <c r="P107" s="296"/>
    </row>
    <row r="108" spans="2:17" ht="18" customHeight="1">
      <c r="B108" s="30"/>
      <c r="C108" s="31" t="s">
        <v>0</v>
      </c>
      <c r="D108" s="31"/>
      <c r="E108" s="366"/>
      <c r="N108" s="32"/>
      <c r="P108" s="296"/>
    </row>
    <row r="109" spans="2:17" ht="32.25" customHeight="1" thickBot="1">
      <c r="B109" s="454" t="s">
        <v>1</v>
      </c>
      <c r="C109" s="455" t="s">
        <v>2</v>
      </c>
      <c r="D109" s="455"/>
      <c r="E109" s="456"/>
      <c r="F109" s="455" t="s">
        <v>3</v>
      </c>
      <c r="G109" s="457" t="s">
        <v>4</v>
      </c>
      <c r="H109" s="457" t="s">
        <v>5</v>
      </c>
      <c r="I109" s="455" t="s">
        <v>48</v>
      </c>
      <c r="J109" s="455" t="s">
        <v>615</v>
      </c>
      <c r="K109" s="455" t="s">
        <v>47</v>
      </c>
      <c r="L109" s="457" t="s">
        <v>6</v>
      </c>
      <c r="M109" s="458" t="s">
        <v>7</v>
      </c>
      <c r="N109" s="459" t="s">
        <v>29</v>
      </c>
      <c r="P109" s="296"/>
    </row>
    <row r="110" spans="2:17" ht="18" customHeight="1" thickTop="1">
      <c r="B110" s="37" t="s">
        <v>23</v>
      </c>
      <c r="E110" s="368"/>
      <c r="N110" s="32"/>
      <c r="P110" s="296"/>
    </row>
    <row r="111" spans="2:17" ht="30" customHeight="1">
      <c r="B111" s="20" t="s">
        <v>395</v>
      </c>
      <c r="C111" s="3" t="s">
        <v>455</v>
      </c>
      <c r="D111" s="8" t="s">
        <v>257</v>
      </c>
      <c r="E111" s="364">
        <f>6324/2</f>
        <v>3162</v>
      </c>
      <c r="F111" s="9">
        <f>E111</f>
        <v>3162</v>
      </c>
      <c r="G111" s="9">
        <v>0</v>
      </c>
      <c r="H111" s="9">
        <f>F111</f>
        <v>3162</v>
      </c>
      <c r="I111" s="13"/>
      <c r="J111" s="13"/>
      <c r="K111" s="9">
        <v>94.31</v>
      </c>
      <c r="L111" s="9">
        <f>K111</f>
        <v>94.31</v>
      </c>
      <c r="M111" s="9">
        <f>H111+I111-L111-J111</f>
        <v>3067.69</v>
      </c>
      <c r="N111" s="32"/>
      <c r="O111" s="200"/>
      <c r="P111" s="296"/>
    </row>
    <row r="112" spans="2:17" ht="30" customHeight="1">
      <c r="B112" s="20" t="s">
        <v>396</v>
      </c>
      <c r="C112" s="3" t="s">
        <v>456</v>
      </c>
      <c r="D112" s="8" t="s">
        <v>257</v>
      </c>
      <c r="E112" s="364">
        <f>7940/2</f>
        <v>3970</v>
      </c>
      <c r="F112" s="9">
        <f>E112</f>
        <v>3970</v>
      </c>
      <c r="G112" s="9">
        <v>0</v>
      </c>
      <c r="H112" s="9">
        <f>F112</f>
        <v>3970</v>
      </c>
      <c r="I112" s="13"/>
      <c r="J112" s="13"/>
      <c r="K112" s="9">
        <v>308.99</v>
      </c>
      <c r="L112" s="9">
        <f t="shared" ref="L112:L115" si="27">K112</f>
        <v>308.99</v>
      </c>
      <c r="M112" s="9">
        <f t="shared" ref="M112:M115" si="28">H112+I112-L112-J112</f>
        <v>3661.01</v>
      </c>
      <c r="N112" s="39"/>
      <c r="O112" s="324"/>
      <c r="P112" s="324">
        <v>3524.16</v>
      </c>
      <c r="Q112" s="324"/>
    </row>
    <row r="113" spans="2:16" ht="30" customHeight="1">
      <c r="B113" s="20" t="s">
        <v>397</v>
      </c>
      <c r="C113" s="3" t="s">
        <v>457</v>
      </c>
      <c r="D113" s="8" t="s">
        <v>257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si="27"/>
        <v>308.99</v>
      </c>
      <c r="M113" s="9">
        <f t="shared" si="28"/>
        <v>3661.01</v>
      </c>
      <c r="N113" s="32"/>
      <c r="O113" s="324"/>
      <c r="P113" s="324">
        <v>3524.16</v>
      </c>
    </row>
    <row r="114" spans="2:16" ht="30" customHeight="1">
      <c r="B114" s="20" t="s">
        <v>398</v>
      </c>
      <c r="C114" s="3" t="s">
        <v>635</v>
      </c>
      <c r="D114" s="8" t="s">
        <v>257</v>
      </c>
      <c r="E114" s="364">
        <f>7404/2</f>
        <v>3702</v>
      </c>
      <c r="F114" s="9">
        <v>4220</v>
      </c>
      <c r="G114" s="9">
        <v>0</v>
      </c>
      <c r="H114" s="9">
        <f>F114</f>
        <v>4220</v>
      </c>
      <c r="I114" s="13"/>
      <c r="J114" s="13"/>
      <c r="K114" s="9">
        <v>336.19</v>
      </c>
      <c r="L114" s="9">
        <f t="shared" si="27"/>
        <v>336.19</v>
      </c>
      <c r="M114" s="9">
        <f t="shared" si="28"/>
        <v>3883.81</v>
      </c>
      <c r="N114" s="554"/>
      <c r="O114" s="200"/>
      <c r="P114" s="296"/>
    </row>
    <row r="115" spans="2:16" ht="30" customHeight="1">
      <c r="B115" s="20" t="s">
        <v>399</v>
      </c>
      <c r="C115" s="3" t="s">
        <v>458</v>
      </c>
      <c r="D115" s="8" t="s">
        <v>257</v>
      </c>
      <c r="E115" s="364">
        <f>8172/2</f>
        <v>4086</v>
      </c>
      <c r="F115" s="9">
        <f>E115</f>
        <v>4086</v>
      </c>
      <c r="G115" s="9">
        <v>0</v>
      </c>
      <c r="H115" s="9">
        <f>F115</f>
        <v>4086</v>
      </c>
      <c r="I115" s="9"/>
      <c r="J115" s="9"/>
      <c r="K115" s="9">
        <v>321.61</v>
      </c>
      <c r="L115" s="9">
        <f t="shared" si="27"/>
        <v>321.61</v>
      </c>
      <c r="M115" s="9">
        <f t="shared" si="28"/>
        <v>3764.39</v>
      </c>
      <c r="N115" s="39"/>
      <c r="O115" s="200"/>
      <c r="P115" s="296"/>
    </row>
    <row r="116" spans="2:16" s="26" customFormat="1" ht="18" customHeight="1" thickBot="1">
      <c r="B116" s="34" t="s">
        <v>9</v>
      </c>
      <c r="C116" s="35"/>
      <c r="D116" s="35"/>
      <c r="E116" s="367"/>
      <c r="F116" s="280">
        <f>SUM(F111:F115)</f>
        <v>19408</v>
      </c>
      <c r="G116" s="280">
        <f t="shared" ref="G116:M116" si="29">SUM(G111:G115)</f>
        <v>0</v>
      </c>
      <c r="H116" s="280">
        <f t="shared" si="29"/>
        <v>19408</v>
      </c>
      <c r="I116" s="280">
        <f t="shared" si="29"/>
        <v>0</v>
      </c>
      <c r="J116" s="280">
        <f>SUM(J111:J115)</f>
        <v>0</v>
      </c>
      <c r="K116" s="280">
        <f t="shared" si="29"/>
        <v>1370.0900000000001</v>
      </c>
      <c r="L116" s="280">
        <f>SUM(L111:L115)</f>
        <v>1370.0900000000001</v>
      </c>
      <c r="M116" s="280">
        <f t="shared" si="29"/>
        <v>18037.91</v>
      </c>
      <c r="N116" s="46"/>
      <c r="O116" s="294">
        <f>H116+I116-L116</f>
        <v>18037.91</v>
      </c>
      <c r="P116" s="296">
        <f t="shared" si="18"/>
        <v>0</v>
      </c>
    </row>
    <row r="117" spans="2:16" ht="18" customHeight="1" thickTop="1">
      <c r="B117" s="30"/>
      <c r="E117" s="368"/>
      <c r="F117" s="16"/>
      <c r="G117" s="16"/>
      <c r="H117" s="16"/>
      <c r="I117" s="17"/>
      <c r="J117" s="17"/>
      <c r="K117" s="16"/>
      <c r="L117" s="16"/>
      <c r="M117" s="18" t="s">
        <v>51</v>
      </c>
      <c r="N117" s="32"/>
      <c r="P117" s="296"/>
    </row>
    <row r="118" spans="2:16" ht="18" customHeight="1">
      <c r="B118" s="30"/>
      <c r="E118" s="368"/>
      <c r="N118" s="32"/>
      <c r="P118" s="296"/>
    </row>
    <row r="119" spans="2:16" ht="18" customHeight="1">
      <c r="B119" s="37" t="s">
        <v>24</v>
      </c>
      <c r="E119" s="368"/>
      <c r="N119" s="32"/>
      <c r="P119" s="296"/>
    </row>
    <row r="120" spans="2:16" ht="18" customHeight="1">
      <c r="B120" s="20" t="s">
        <v>400</v>
      </c>
      <c r="C120" s="3" t="s">
        <v>645</v>
      </c>
      <c r="D120" s="8" t="s">
        <v>646</v>
      </c>
      <c r="E120" s="364">
        <f>12210/2</f>
        <v>6105</v>
      </c>
      <c r="F120" s="513">
        <f>E120</f>
        <v>6105</v>
      </c>
      <c r="G120" s="3"/>
      <c r="H120" s="312">
        <f>F120</f>
        <v>6105</v>
      </c>
      <c r="I120" s="3"/>
      <c r="J120" s="513"/>
      <c r="K120" s="3">
        <v>657.3</v>
      </c>
      <c r="L120" s="3">
        <f>K120</f>
        <v>657.3</v>
      </c>
      <c r="M120" s="312">
        <f>H120-L120-J120</f>
        <v>5447.7</v>
      </c>
      <c r="N120" s="32"/>
      <c r="P120" s="296"/>
    </row>
    <row r="121" spans="2:16" ht="30" customHeight="1">
      <c r="B121" s="20" t="s">
        <v>401</v>
      </c>
      <c r="C121" s="3" t="s">
        <v>460</v>
      </c>
      <c r="D121" s="8" t="s">
        <v>253</v>
      </c>
      <c r="E121" s="364">
        <f>7088/2</f>
        <v>3544</v>
      </c>
      <c r="F121" s="9">
        <f>E121</f>
        <v>3544</v>
      </c>
      <c r="G121" s="9">
        <v>0</v>
      </c>
      <c r="H121" s="9">
        <f>F121</f>
        <v>3544</v>
      </c>
      <c r="I121" s="13"/>
      <c r="J121" s="13"/>
      <c r="K121" s="9">
        <v>135.87</v>
      </c>
      <c r="L121" s="9">
        <f>K121</f>
        <v>135.87</v>
      </c>
      <c r="M121" s="9">
        <f>H121+I121-L121-J121</f>
        <v>3408.13</v>
      </c>
      <c r="N121" s="39"/>
      <c r="P121" s="296"/>
    </row>
    <row r="122" spans="2:16" s="26" customFormat="1" ht="18" customHeight="1" thickBot="1">
      <c r="B122" s="34" t="s">
        <v>9</v>
      </c>
      <c r="C122" s="35"/>
      <c r="D122" s="35"/>
      <c r="E122" s="367"/>
      <c r="F122" s="280">
        <f>SUM(F120:F121)</f>
        <v>9649</v>
      </c>
      <c r="G122" s="280">
        <f t="shared" ref="G122:I122" si="30">SUM(G121:G121)</f>
        <v>0</v>
      </c>
      <c r="H122" s="280">
        <f>SUM(H120:H121)</f>
        <v>9649</v>
      </c>
      <c r="I122" s="280">
        <f t="shared" si="30"/>
        <v>0</v>
      </c>
      <c r="J122" s="280">
        <f>J120</f>
        <v>0</v>
      </c>
      <c r="K122" s="280">
        <f>SUM(K120:K121)</f>
        <v>793.17</v>
      </c>
      <c r="L122" s="280">
        <f>SUM(L120:L121)</f>
        <v>793.17</v>
      </c>
      <c r="M122" s="280">
        <f>SUM(M120:M121)</f>
        <v>8855.83</v>
      </c>
      <c r="N122" s="46"/>
      <c r="O122" s="293">
        <f>H122+I122-L122</f>
        <v>8855.83</v>
      </c>
      <c r="P122" s="296">
        <f t="shared" si="18"/>
        <v>0</v>
      </c>
    </row>
    <row r="123" spans="2:16" ht="18" customHeight="1" thickTop="1">
      <c r="B123" s="47"/>
      <c r="C123" s="48"/>
      <c r="D123" s="48"/>
      <c r="E123" s="371"/>
      <c r="F123" s="49"/>
      <c r="G123" s="49"/>
      <c r="H123" s="49"/>
      <c r="I123" s="51"/>
      <c r="J123" s="51"/>
      <c r="K123" s="49"/>
      <c r="L123" s="49"/>
      <c r="M123" s="50" t="s">
        <v>51</v>
      </c>
      <c r="N123" s="33"/>
      <c r="P123" s="296"/>
    </row>
    <row r="124" spans="2:16" ht="18" customHeight="1">
      <c r="E124" s="370"/>
      <c r="P124" s="296"/>
    </row>
    <row r="125" spans="2:16" ht="18" customHeight="1">
      <c r="E125" s="370"/>
      <c r="P125" s="296"/>
    </row>
    <row r="126" spans="2:16" ht="18" customHeight="1">
      <c r="E126" s="370"/>
      <c r="P126" s="296"/>
    </row>
    <row r="127" spans="2:16" ht="18" customHeight="1">
      <c r="E127" s="370"/>
      <c r="P127" s="296"/>
    </row>
    <row r="128" spans="2:16" ht="18" customHeight="1">
      <c r="B128" s="615" t="s">
        <v>218</v>
      </c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6"/>
      <c r="N128" s="617"/>
      <c r="P128" s="296"/>
    </row>
    <row r="129" spans="2:16" ht="18" customHeight="1">
      <c r="B129" s="618" t="s">
        <v>801</v>
      </c>
      <c r="C129" s="619"/>
      <c r="D129" s="619"/>
      <c r="E129" s="619"/>
      <c r="F129" s="619"/>
      <c r="G129" s="619"/>
      <c r="H129" s="619"/>
      <c r="I129" s="619"/>
      <c r="J129" s="619"/>
      <c r="K129" s="619"/>
      <c r="L129" s="619"/>
      <c r="M129" s="619"/>
      <c r="N129" s="620"/>
      <c r="P129" s="296"/>
    </row>
    <row r="130" spans="2:16" ht="18" customHeight="1">
      <c r="B130" s="30"/>
      <c r="C130" s="31" t="s">
        <v>0</v>
      </c>
      <c r="D130" s="31"/>
      <c r="E130" s="366"/>
      <c r="N130" s="32"/>
      <c r="P130" s="296"/>
    </row>
    <row r="131" spans="2:16" ht="26.25" customHeight="1" thickBot="1">
      <c r="B131" s="454" t="s">
        <v>1</v>
      </c>
      <c r="C131" s="455" t="s">
        <v>2</v>
      </c>
      <c r="D131" s="455"/>
      <c r="E131" s="456"/>
      <c r="F131" s="455" t="s">
        <v>3</v>
      </c>
      <c r="G131" s="457" t="s">
        <v>4</v>
      </c>
      <c r="H131" s="457" t="s">
        <v>5</v>
      </c>
      <c r="I131" s="455" t="s">
        <v>48</v>
      </c>
      <c r="J131" s="455" t="s">
        <v>615</v>
      </c>
      <c r="K131" s="455" t="s">
        <v>47</v>
      </c>
      <c r="L131" s="457" t="s">
        <v>6</v>
      </c>
      <c r="M131" s="458" t="s">
        <v>7</v>
      </c>
      <c r="N131" s="459" t="s">
        <v>29</v>
      </c>
      <c r="P131" s="296"/>
    </row>
    <row r="132" spans="2:16" ht="18" customHeight="1" thickTop="1">
      <c r="B132" s="37" t="s">
        <v>25</v>
      </c>
      <c r="E132" s="368"/>
      <c r="N132" s="32"/>
      <c r="P132" s="296"/>
    </row>
    <row r="133" spans="2:16" ht="35.1" customHeight="1">
      <c r="B133" s="20" t="s">
        <v>402</v>
      </c>
      <c r="C133" s="3" t="s">
        <v>42</v>
      </c>
      <c r="D133" s="8" t="s">
        <v>258</v>
      </c>
      <c r="E133" s="364">
        <f>13768/2</f>
        <v>6884</v>
      </c>
      <c r="F133" s="9">
        <f t="shared" ref="F133:F139" si="31">E133</f>
        <v>6884</v>
      </c>
      <c r="G133" s="9">
        <v>0</v>
      </c>
      <c r="H133" s="9">
        <f>F133</f>
        <v>6884</v>
      </c>
      <c r="I133" s="9"/>
      <c r="J133" s="322"/>
      <c r="K133" s="9">
        <v>823.69</v>
      </c>
      <c r="L133" s="9">
        <f>K133</f>
        <v>823.69</v>
      </c>
      <c r="M133" s="9">
        <f t="shared" ref="M133:M137" si="32">H133+I133-L133-J133</f>
        <v>6060.3099999999995</v>
      </c>
      <c r="N133" s="33"/>
      <c r="P133" s="296"/>
    </row>
    <row r="134" spans="2:16" ht="35.1" customHeight="1">
      <c r="B134" s="20" t="s">
        <v>403</v>
      </c>
      <c r="C134" s="3" t="s">
        <v>266</v>
      </c>
      <c r="D134" s="8" t="s">
        <v>260</v>
      </c>
      <c r="E134" s="364">
        <f>6252/2</f>
        <v>3126</v>
      </c>
      <c r="F134" s="9">
        <f t="shared" si="31"/>
        <v>3126</v>
      </c>
      <c r="G134" s="9">
        <v>0</v>
      </c>
      <c r="H134" s="9">
        <f t="shared" ref="H134:H139" si="33">F134</f>
        <v>3126</v>
      </c>
      <c r="I134" s="13"/>
      <c r="J134" s="13"/>
      <c r="K134" s="9">
        <v>90.39</v>
      </c>
      <c r="L134" s="9">
        <f t="shared" ref="L134:L139" si="34">K134</f>
        <v>90.39</v>
      </c>
      <c r="M134" s="9">
        <f t="shared" si="32"/>
        <v>3035.61</v>
      </c>
      <c r="N134" s="9"/>
      <c r="P134" s="296"/>
    </row>
    <row r="135" spans="2:16" ht="35.1" customHeight="1">
      <c r="B135" s="20" t="s">
        <v>404</v>
      </c>
      <c r="C135" s="3" t="s">
        <v>265</v>
      </c>
      <c r="D135" s="8" t="s">
        <v>261</v>
      </c>
      <c r="E135" s="364">
        <f>8102/2</f>
        <v>4051</v>
      </c>
      <c r="F135" s="9">
        <f t="shared" si="31"/>
        <v>4051</v>
      </c>
      <c r="G135" s="9">
        <v>0</v>
      </c>
      <c r="H135" s="9">
        <f t="shared" si="33"/>
        <v>4051</v>
      </c>
      <c r="I135" s="9"/>
      <c r="J135" s="563">
        <v>1000</v>
      </c>
      <c r="K135" s="9">
        <v>317.8</v>
      </c>
      <c r="L135" s="9">
        <f>J135+K135</f>
        <v>1317.8</v>
      </c>
      <c r="M135" s="9">
        <f>H135-L135</f>
        <v>2733.2</v>
      </c>
      <c r="N135" s="9"/>
      <c r="P135" s="296"/>
    </row>
    <row r="136" spans="2:16" ht="35.1" customHeight="1">
      <c r="B136" s="20" t="s">
        <v>405</v>
      </c>
      <c r="C136" s="3" t="s">
        <v>636</v>
      </c>
      <c r="D136" s="8" t="s">
        <v>253</v>
      </c>
      <c r="E136" s="364">
        <f>7170/2</f>
        <v>3585</v>
      </c>
      <c r="F136" s="9">
        <f t="shared" si="31"/>
        <v>3585</v>
      </c>
      <c r="G136" s="9">
        <v>0</v>
      </c>
      <c r="H136" s="9">
        <f t="shared" si="33"/>
        <v>3585</v>
      </c>
      <c r="I136" s="13"/>
      <c r="J136" s="13"/>
      <c r="K136" s="9">
        <v>158.29</v>
      </c>
      <c r="L136" s="9">
        <f t="shared" si="34"/>
        <v>158.29</v>
      </c>
      <c r="M136" s="9">
        <f t="shared" si="32"/>
        <v>3426.71</v>
      </c>
      <c r="N136" s="9"/>
      <c r="P136" s="296"/>
    </row>
    <row r="137" spans="2:16" ht="35.1" customHeight="1">
      <c r="B137" s="20" t="s">
        <v>406</v>
      </c>
      <c r="C137" s="3" t="s">
        <v>263</v>
      </c>
      <c r="D137" s="8" t="s">
        <v>253</v>
      </c>
      <c r="E137" s="364">
        <f>6280/2</f>
        <v>3140</v>
      </c>
      <c r="F137" s="9">
        <f t="shared" si="31"/>
        <v>3140</v>
      </c>
      <c r="G137" s="9">
        <v>0</v>
      </c>
      <c r="H137" s="9">
        <f t="shared" si="33"/>
        <v>3140</v>
      </c>
      <c r="I137" s="13"/>
      <c r="J137" s="13"/>
      <c r="K137" s="9">
        <v>91.91</v>
      </c>
      <c r="L137" s="9">
        <f t="shared" si="34"/>
        <v>91.91</v>
      </c>
      <c r="M137" s="9">
        <f t="shared" si="32"/>
        <v>3048.09</v>
      </c>
      <c r="N137" s="9"/>
      <c r="P137" s="296"/>
    </row>
    <row r="138" spans="2:16" ht="35.1" customHeight="1">
      <c r="B138" s="20" t="s">
        <v>407</v>
      </c>
      <c r="C138" s="3" t="s">
        <v>622</v>
      </c>
      <c r="D138" s="8" t="s">
        <v>261</v>
      </c>
      <c r="E138" s="364">
        <f>7160/2</f>
        <v>3580</v>
      </c>
      <c r="F138" s="9">
        <f t="shared" si="31"/>
        <v>3580</v>
      </c>
      <c r="G138" s="9">
        <v>0</v>
      </c>
      <c r="H138" s="9">
        <f t="shared" si="33"/>
        <v>3580</v>
      </c>
      <c r="I138" s="13"/>
      <c r="J138" s="13"/>
      <c r="K138" s="9">
        <v>157.75</v>
      </c>
      <c r="L138" s="9">
        <f t="shared" si="34"/>
        <v>157.75</v>
      </c>
      <c r="M138" s="9">
        <f t="shared" ref="M138" si="35">H138+I138-L138-J138</f>
        <v>3422.25</v>
      </c>
      <c r="N138" s="9"/>
      <c r="P138" s="296"/>
    </row>
    <row r="139" spans="2:16" ht="35.1" customHeight="1">
      <c r="B139" s="20" t="s">
        <v>408</v>
      </c>
      <c r="C139" s="3" t="s">
        <v>262</v>
      </c>
      <c r="D139" s="8" t="s">
        <v>261</v>
      </c>
      <c r="E139" s="364">
        <f>7160/2</f>
        <v>3580</v>
      </c>
      <c r="F139" s="9">
        <f t="shared" si="31"/>
        <v>3580</v>
      </c>
      <c r="G139" s="9">
        <v>0</v>
      </c>
      <c r="H139" s="9">
        <f t="shared" si="33"/>
        <v>3580</v>
      </c>
      <c r="I139" s="13"/>
      <c r="J139" s="13"/>
      <c r="K139" s="9">
        <v>157.75</v>
      </c>
      <c r="L139" s="9">
        <f t="shared" si="34"/>
        <v>157.75</v>
      </c>
      <c r="M139" s="9">
        <f>H139+I139-L139-J139</f>
        <v>3422.25</v>
      </c>
      <c r="N139" s="9"/>
      <c r="P139" s="296"/>
    </row>
    <row r="140" spans="2:16" s="26" customFormat="1" ht="18" customHeight="1" thickBot="1">
      <c r="B140" s="34" t="s">
        <v>9</v>
      </c>
      <c r="C140" s="35"/>
      <c r="D140" s="35"/>
      <c r="E140" s="367"/>
      <c r="F140" s="280">
        <f t="shared" ref="F140:M140" si="36">SUM(F133:F139)</f>
        <v>27946</v>
      </c>
      <c r="G140" s="280">
        <f t="shared" si="36"/>
        <v>0</v>
      </c>
      <c r="H140" s="280">
        <f t="shared" si="36"/>
        <v>27946</v>
      </c>
      <c r="I140" s="280">
        <f t="shared" si="36"/>
        <v>0</v>
      </c>
      <c r="J140" s="280">
        <f t="shared" si="36"/>
        <v>1000</v>
      </c>
      <c r="K140" s="280">
        <f t="shared" si="36"/>
        <v>1797.5800000000002</v>
      </c>
      <c r="L140" s="280">
        <f t="shared" si="36"/>
        <v>2797.58</v>
      </c>
      <c r="M140" s="280">
        <f t="shared" si="36"/>
        <v>25148.42</v>
      </c>
      <c r="N140" s="53"/>
      <c r="O140" s="293">
        <f>H140+I140-L140-J140</f>
        <v>24148.42</v>
      </c>
      <c r="P140" s="296">
        <f t="shared" ref="P140:P171" si="37">M140-O140</f>
        <v>1000</v>
      </c>
    </row>
    <row r="141" spans="2:16" ht="18" customHeight="1" thickTop="1">
      <c r="B141" s="30"/>
      <c r="E141" s="368"/>
      <c r="F141" s="16"/>
      <c r="G141" s="16"/>
      <c r="H141" s="16"/>
      <c r="I141" s="17"/>
      <c r="J141" s="17"/>
      <c r="K141" s="16"/>
      <c r="L141" s="16"/>
      <c r="M141" s="58" t="s">
        <v>51</v>
      </c>
      <c r="N141" s="32"/>
      <c r="P141" s="296"/>
    </row>
    <row r="142" spans="2:16" ht="18" customHeight="1">
      <c r="B142" s="47"/>
      <c r="C142" s="48"/>
      <c r="D142" s="48"/>
      <c r="E142" s="371"/>
      <c r="F142" s="48"/>
      <c r="G142" s="48"/>
      <c r="H142" s="48"/>
      <c r="I142" s="48"/>
      <c r="J142" s="48"/>
      <c r="K142" s="48"/>
      <c r="L142" s="48"/>
      <c r="M142" s="48"/>
      <c r="N142" s="33"/>
      <c r="P142" s="296"/>
    </row>
    <row r="143" spans="2:16" ht="18" customHeight="1">
      <c r="E143" s="370"/>
      <c r="P143" s="296"/>
    </row>
    <row r="144" spans="2:16" ht="18" customHeight="1">
      <c r="E144" s="370"/>
      <c r="P144" s="296"/>
    </row>
    <row r="145" spans="2:18" ht="18" customHeight="1">
      <c r="E145" s="370"/>
      <c r="P145" s="296"/>
    </row>
    <row r="146" spans="2:18" ht="18" customHeight="1">
      <c r="B146" s="615" t="s">
        <v>218</v>
      </c>
      <c r="C146" s="616"/>
      <c r="D146" s="616"/>
      <c r="E146" s="616"/>
      <c r="F146" s="616"/>
      <c r="G146" s="616"/>
      <c r="H146" s="616"/>
      <c r="I146" s="616"/>
      <c r="J146" s="616"/>
      <c r="K146" s="616"/>
      <c r="L146" s="616"/>
      <c r="M146" s="616"/>
      <c r="N146" s="617"/>
      <c r="P146" s="296"/>
    </row>
    <row r="147" spans="2:18" ht="18" customHeight="1">
      <c r="B147" s="618" t="s">
        <v>797</v>
      </c>
      <c r="C147" s="619"/>
      <c r="D147" s="619"/>
      <c r="E147" s="619"/>
      <c r="F147" s="619"/>
      <c r="G147" s="619"/>
      <c r="H147" s="619"/>
      <c r="I147" s="619"/>
      <c r="J147" s="619"/>
      <c r="K147" s="619"/>
      <c r="L147" s="619"/>
      <c r="M147" s="619"/>
      <c r="N147" s="620"/>
      <c r="P147" s="296"/>
    </row>
    <row r="148" spans="2:18" ht="18" customHeight="1">
      <c r="B148" s="30"/>
      <c r="C148" s="31" t="s">
        <v>0</v>
      </c>
      <c r="D148" s="31"/>
      <c r="E148" s="366"/>
      <c r="N148" s="32"/>
      <c r="P148" s="296"/>
    </row>
    <row r="149" spans="2:18" ht="30" customHeight="1" thickBot="1">
      <c r="B149" s="454" t="s">
        <v>1</v>
      </c>
      <c r="C149" s="455" t="s">
        <v>2</v>
      </c>
      <c r="D149" s="455"/>
      <c r="E149" s="456"/>
      <c r="F149" s="455" t="s">
        <v>3</v>
      </c>
      <c r="G149" s="457" t="s">
        <v>4</v>
      </c>
      <c r="H149" s="457" t="s">
        <v>5</v>
      </c>
      <c r="I149" s="455" t="s">
        <v>48</v>
      </c>
      <c r="J149" s="455" t="s">
        <v>615</v>
      </c>
      <c r="K149" s="455" t="s">
        <v>47</v>
      </c>
      <c r="L149" s="457" t="s">
        <v>6</v>
      </c>
      <c r="M149" s="458" t="s">
        <v>7</v>
      </c>
      <c r="N149" s="459" t="s">
        <v>29</v>
      </c>
      <c r="P149" s="296"/>
    </row>
    <row r="150" spans="2:18" ht="18" customHeight="1" thickTop="1">
      <c r="B150" s="37" t="s">
        <v>26</v>
      </c>
      <c r="E150" s="368"/>
      <c r="N150" s="32"/>
      <c r="P150" s="296"/>
    </row>
    <row r="151" spans="2:18" ht="30" customHeight="1">
      <c r="B151" s="20" t="s">
        <v>409</v>
      </c>
      <c r="C151" s="3" t="s">
        <v>691</v>
      </c>
      <c r="D151" s="8" t="s">
        <v>267</v>
      </c>
      <c r="E151" s="364">
        <f>6376/2</f>
        <v>3188</v>
      </c>
      <c r="F151" s="9">
        <f>E151</f>
        <v>3188</v>
      </c>
      <c r="G151" s="9">
        <v>0</v>
      </c>
      <c r="H151" s="9">
        <f>F151</f>
        <v>3188</v>
      </c>
      <c r="I151" s="13"/>
      <c r="J151" s="13"/>
      <c r="K151" s="9">
        <v>97.14</v>
      </c>
      <c r="L151" s="9">
        <f>K151</f>
        <v>97.14</v>
      </c>
      <c r="M151" s="9">
        <f>H151+I151-L151-J151</f>
        <v>3090.86</v>
      </c>
      <c r="N151" s="33"/>
      <c r="P151" s="296"/>
    </row>
    <row r="152" spans="2:18" ht="30" customHeight="1">
      <c r="B152" s="20" t="s">
        <v>410</v>
      </c>
      <c r="C152" s="3" t="s">
        <v>638</v>
      </c>
      <c r="D152" s="8" t="s">
        <v>268</v>
      </c>
      <c r="E152" s="364">
        <f>10384/2</f>
        <v>5192</v>
      </c>
      <c r="F152" s="9">
        <v>4845.8599999999997</v>
      </c>
      <c r="G152" s="9">
        <v>0</v>
      </c>
      <c r="H152" s="9">
        <f>F152</f>
        <v>4845.8599999999997</v>
      </c>
      <c r="I152" s="9"/>
      <c r="J152" s="9"/>
      <c r="K152" s="9">
        <v>457.56</v>
      </c>
      <c r="L152" s="9">
        <f>K152</f>
        <v>457.56</v>
      </c>
      <c r="M152" s="9">
        <f>H152+I152-L152-J152</f>
        <v>4388.2999999999993</v>
      </c>
      <c r="N152" s="32"/>
      <c r="O152" s="611" t="s">
        <v>808</v>
      </c>
      <c r="P152" s="612"/>
      <c r="Q152" s="611"/>
      <c r="R152" s="611"/>
    </row>
    <row r="153" spans="2:18" s="26" customFormat="1" ht="30" customHeight="1" thickBot="1">
      <c r="B153" s="34" t="s">
        <v>9</v>
      </c>
      <c r="C153" s="35"/>
      <c r="D153" s="35"/>
      <c r="E153" s="367"/>
      <c r="F153" s="280">
        <f>SUM(F151:F152)</f>
        <v>8033.86</v>
      </c>
      <c r="G153" s="280">
        <f t="shared" ref="G153:I153" si="38">SUM(G151:G152)</f>
        <v>0</v>
      </c>
      <c r="H153" s="280">
        <f>SUM(H151:H152)</f>
        <v>8033.86</v>
      </c>
      <c r="I153" s="280">
        <f t="shared" si="38"/>
        <v>0</v>
      </c>
      <c r="J153" s="280">
        <f>SUM(J151:J152)</f>
        <v>0</v>
      </c>
      <c r="K153" s="280">
        <f>SUM(K151:K152)</f>
        <v>554.70000000000005</v>
      </c>
      <c r="L153" s="280">
        <f>SUM(L151:L152)</f>
        <v>554.70000000000005</v>
      </c>
      <c r="M153" s="280">
        <f>SUM(M151:M152)</f>
        <v>7479.16</v>
      </c>
      <c r="N153" s="36"/>
      <c r="O153" s="293">
        <f>H153+I153-L153</f>
        <v>7479.16</v>
      </c>
      <c r="P153" s="296">
        <f t="shared" si="37"/>
        <v>0</v>
      </c>
    </row>
    <row r="154" spans="2:18" ht="18" customHeight="1" thickTop="1">
      <c r="B154" s="30"/>
      <c r="E154" s="368"/>
      <c r="F154" s="16"/>
      <c r="G154" s="16"/>
      <c r="H154" s="16"/>
      <c r="I154" s="17"/>
      <c r="J154" s="17"/>
      <c r="K154" s="16"/>
      <c r="L154" s="16"/>
      <c r="M154" s="18" t="s">
        <v>51</v>
      </c>
      <c r="N154" s="32"/>
      <c r="P154" s="296"/>
    </row>
    <row r="155" spans="2:18" ht="18" customHeight="1">
      <c r="B155" s="30"/>
      <c r="E155" s="368"/>
      <c r="N155" s="32"/>
      <c r="P155" s="296"/>
    </row>
    <row r="156" spans="2:18" ht="18" customHeight="1">
      <c r="B156" s="37" t="s">
        <v>591</v>
      </c>
      <c r="E156" s="368"/>
      <c r="N156" s="32"/>
      <c r="P156" s="296"/>
    </row>
    <row r="157" spans="2:18" ht="30" customHeight="1">
      <c r="B157" s="20" t="s">
        <v>411</v>
      </c>
      <c r="C157" s="3" t="s">
        <v>667</v>
      </c>
      <c r="D157" s="8" t="s">
        <v>269</v>
      </c>
      <c r="E157" s="364">
        <f>13508/2</f>
        <v>6754</v>
      </c>
      <c r="F157" s="513">
        <v>6754</v>
      </c>
      <c r="G157" s="27">
        <v>0</v>
      </c>
      <c r="H157" s="27">
        <f>F157</f>
        <v>6754</v>
      </c>
      <c r="I157" s="27"/>
      <c r="J157" s="27"/>
      <c r="K157" s="27">
        <v>795.93</v>
      </c>
      <c r="L157" s="27">
        <f>K157</f>
        <v>795.93</v>
      </c>
      <c r="M157" s="27">
        <f>H157+I157-L157-J157</f>
        <v>5958.07</v>
      </c>
      <c r="N157" s="33"/>
      <c r="P157" s="296"/>
    </row>
    <row r="158" spans="2:18" s="26" customFormat="1" ht="30" customHeight="1" thickBot="1">
      <c r="B158" s="34" t="s">
        <v>9</v>
      </c>
      <c r="C158" s="35"/>
      <c r="D158" s="35"/>
      <c r="E158" s="367"/>
      <c r="F158" s="282">
        <f>SUM(F157)</f>
        <v>6754</v>
      </c>
      <c r="G158" s="282">
        <f t="shared" ref="G158:M158" si="39">SUM(G157)</f>
        <v>0</v>
      </c>
      <c r="H158" s="282">
        <f>SUM(H157)</f>
        <v>6754</v>
      </c>
      <c r="I158" s="282">
        <f t="shared" si="39"/>
        <v>0</v>
      </c>
      <c r="J158" s="282">
        <f>SUM(J157)</f>
        <v>0</v>
      </c>
      <c r="K158" s="282">
        <f>SUM(K157)</f>
        <v>795.93</v>
      </c>
      <c r="L158" s="282">
        <f>SUM(L157)</f>
        <v>795.93</v>
      </c>
      <c r="M158" s="282">
        <f t="shared" si="39"/>
        <v>5958.07</v>
      </c>
      <c r="N158" s="46"/>
      <c r="O158" s="296">
        <f>H158+I158-L158</f>
        <v>5958.07</v>
      </c>
      <c r="P158" s="296">
        <f t="shared" si="37"/>
        <v>0</v>
      </c>
    </row>
    <row r="159" spans="2:18" ht="18" customHeight="1" thickTop="1">
      <c r="B159" s="30"/>
      <c r="E159" s="368"/>
      <c r="F159" s="16"/>
      <c r="G159" s="16"/>
      <c r="H159" s="16"/>
      <c r="I159" s="16"/>
      <c r="J159" s="16"/>
      <c r="K159" s="16"/>
      <c r="L159" s="16"/>
      <c r="M159" s="18" t="s">
        <v>51</v>
      </c>
      <c r="N159" s="32"/>
      <c r="P159" s="296"/>
    </row>
    <row r="160" spans="2:18" ht="18" customHeight="1">
      <c r="B160" s="30"/>
      <c r="E160" s="368"/>
      <c r="F160" s="16"/>
      <c r="G160" s="16"/>
      <c r="H160" s="16"/>
      <c r="I160" s="16"/>
      <c r="J160" s="16"/>
      <c r="K160" s="16"/>
      <c r="L160" s="16"/>
      <c r="M160" s="18"/>
      <c r="N160" s="32"/>
      <c r="P160" s="296"/>
    </row>
    <row r="161" spans="2:16" ht="18" customHeight="1">
      <c r="B161" s="615" t="s">
        <v>218</v>
      </c>
      <c r="C161" s="616"/>
      <c r="D161" s="616"/>
      <c r="E161" s="616"/>
      <c r="F161" s="616"/>
      <c r="G161" s="616"/>
      <c r="H161" s="616"/>
      <c r="I161" s="616"/>
      <c r="J161" s="616"/>
      <c r="K161" s="616"/>
      <c r="L161" s="616"/>
      <c r="M161" s="616"/>
      <c r="N161" s="617"/>
      <c r="P161" s="296"/>
    </row>
    <row r="162" spans="2:16" ht="18" customHeight="1">
      <c r="B162" s="618" t="s">
        <v>801</v>
      </c>
      <c r="C162" s="619"/>
      <c r="D162" s="619"/>
      <c r="E162" s="619"/>
      <c r="F162" s="619"/>
      <c r="G162" s="619"/>
      <c r="H162" s="619"/>
      <c r="I162" s="619"/>
      <c r="J162" s="619"/>
      <c r="K162" s="619"/>
      <c r="L162" s="619"/>
      <c r="M162" s="619"/>
      <c r="N162" s="620"/>
      <c r="P162" s="296"/>
    </row>
    <row r="163" spans="2:16" ht="18" customHeight="1">
      <c r="B163" s="30"/>
      <c r="C163" s="31" t="s">
        <v>0</v>
      </c>
      <c r="D163" s="31"/>
      <c r="E163" s="366"/>
      <c r="N163" s="32"/>
      <c r="P163" s="296"/>
    </row>
    <row r="164" spans="2:16" ht="18" customHeight="1">
      <c r="B164" s="37" t="s">
        <v>632</v>
      </c>
      <c r="E164" s="368"/>
      <c r="N164" s="32"/>
      <c r="P164" s="296"/>
    </row>
    <row r="165" spans="2:16" ht="30" customHeight="1">
      <c r="B165" s="20" t="s">
        <v>412</v>
      </c>
      <c r="C165" s="3" t="s">
        <v>49</v>
      </c>
      <c r="D165" s="8" t="s">
        <v>270</v>
      </c>
      <c r="E165" s="364">
        <f>13768/2</f>
        <v>6884</v>
      </c>
      <c r="F165" s="9">
        <f>E165</f>
        <v>6884</v>
      </c>
      <c r="G165" s="9">
        <v>0</v>
      </c>
      <c r="H165" s="9">
        <f>F165</f>
        <v>6884</v>
      </c>
      <c r="I165" s="9"/>
      <c r="J165" s="563">
        <v>1500</v>
      </c>
      <c r="K165" s="9">
        <v>823.69</v>
      </c>
      <c r="L165" s="9">
        <f>J165+K165</f>
        <v>2323.69</v>
      </c>
      <c r="M165" s="9">
        <f>H165-L165</f>
        <v>4560.3099999999995</v>
      </c>
      <c r="N165" s="33"/>
      <c r="P165" s="296"/>
    </row>
    <row r="166" spans="2:16" s="26" customFormat="1" ht="30" customHeight="1" thickBot="1">
      <c r="B166" s="34" t="s">
        <v>9</v>
      </c>
      <c r="C166" s="35"/>
      <c r="D166" s="35"/>
      <c r="E166" s="372"/>
      <c r="F166" s="280">
        <f>SUM(F165)</f>
        <v>6884</v>
      </c>
      <c r="G166" s="280">
        <f t="shared" ref="G166:I166" si="40">SUM(G165)</f>
        <v>0</v>
      </c>
      <c r="H166" s="280">
        <f>SUM(H165)</f>
        <v>6884</v>
      </c>
      <c r="I166" s="280">
        <f t="shared" si="40"/>
        <v>0</v>
      </c>
      <c r="J166" s="280">
        <f>SUM(J165)</f>
        <v>1500</v>
      </c>
      <c r="K166" s="280">
        <f>SUM(K165)</f>
        <v>823.69</v>
      </c>
      <c r="L166" s="280">
        <f>SUM(L165)</f>
        <v>2323.69</v>
      </c>
      <c r="M166" s="280">
        <f>SUM(M165)</f>
        <v>4560.3099999999995</v>
      </c>
      <c r="N166" s="46"/>
      <c r="O166" s="293">
        <f>H166+I166-L166</f>
        <v>4560.3099999999995</v>
      </c>
      <c r="P166" s="296">
        <f t="shared" si="37"/>
        <v>0</v>
      </c>
    </row>
    <row r="167" spans="2:16" ht="18" customHeight="1" thickTop="1">
      <c r="B167" s="47"/>
      <c r="C167" s="48"/>
      <c r="D167" s="48"/>
      <c r="E167" s="373"/>
      <c r="F167" s="49"/>
      <c r="G167" s="49"/>
      <c r="H167" s="49"/>
      <c r="I167" s="49"/>
      <c r="J167" s="49"/>
      <c r="K167" s="49"/>
      <c r="L167" s="49"/>
      <c r="M167" s="50" t="s">
        <v>51</v>
      </c>
      <c r="N167" s="33"/>
      <c r="P167" s="296"/>
    </row>
    <row r="168" spans="2:16" ht="18" customHeight="1">
      <c r="P168" s="296"/>
    </row>
    <row r="169" spans="2:16" ht="18" customHeight="1">
      <c r="B169" s="37" t="s">
        <v>592</v>
      </c>
      <c r="E169" s="368"/>
      <c r="N169" s="32"/>
      <c r="P169" s="296"/>
    </row>
    <row r="170" spans="2:16" ht="18" customHeight="1">
      <c r="B170" s="20" t="s">
        <v>413</v>
      </c>
      <c r="C170" s="3" t="s">
        <v>418</v>
      </c>
      <c r="D170" s="8" t="s">
        <v>419</v>
      </c>
      <c r="E170" s="364">
        <f>12210/2</f>
        <v>6105</v>
      </c>
      <c r="F170" s="9">
        <f>E170</f>
        <v>6105</v>
      </c>
      <c r="G170" s="9">
        <v>0</v>
      </c>
      <c r="H170" s="9">
        <f>F170</f>
        <v>6105</v>
      </c>
      <c r="I170" s="9"/>
      <c r="J170" s="9"/>
      <c r="K170" s="9">
        <v>657.3</v>
      </c>
      <c r="L170" s="9">
        <f>K170</f>
        <v>657.3</v>
      </c>
      <c r="M170" s="9">
        <f>H170+I170-L170-J170</f>
        <v>5447.7</v>
      </c>
      <c r="N170" s="52"/>
      <c r="P170" s="296"/>
    </row>
    <row r="171" spans="2:16" ht="18" customHeight="1" thickBot="1">
      <c r="B171" s="34" t="s">
        <v>9</v>
      </c>
      <c r="C171" s="35"/>
      <c r="D171" s="35"/>
      <c r="E171" s="367"/>
      <c r="F171" s="280">
        <f t="shared" ref="F171:I171" si="41">SUM(F170:F170)</f>
        <v>6105</v>
      </c>
      <c r="G171" s="280">
        <f t="shared" si="41"/>
        <v>0</v>
      </c>
      <c r="H171" s="280">
        <f>SUM(H170:H170)</f>
        <v>6105</v>
      </c>
      <c r="I171" s="280">
        <f t="shared" si="41"/>
        <v>0</v>
      </c>
      <c r="J171" s="280">
        <f>SUM(J170)</f>
        <v>0</v>
      </c>
      <c r="K171" s="280">
        <f>SUM(K170:K170)</f>
        <v>657.3</v>
      </c>
      <c r="L171" s="280">
        <f>SUM(L170:L170)</f>
        <v>657.3</v>
      </c>
      <c r="M171" s="280">
        <f>SUM(M170:M170)</f>
        <v>5447.7</v>
      </c>
      <c r="N171" s="46"/>
      <c r="O171" s="292">
        <f>H171+I171-L171</f>
        <v>5447.7</v>
      </c>
      <c r="P171" s="296">
        <f t="shared" si="37"/>
        <v>0</v>
      </c>
    </row>
    <row r="172" spans="2:16" ht="18" customHeight="1" thickTop="1">
      <c r="B172" s="47"/>
      <c r="C172" s="48"/>
      <c r="D172" s="48"/>
      <c r="E172" s="371"/>
      <c r="F172" s="49"/>
      <c r="G172" s="49"/>
      <c r="H172" s="49"/>
      <c r="I172" s="51"/>
      <c r="J172" s="51"/>
      <c r="K172" s="49"/>
      <c r="L172" s="49"/>
      <c r="M172" s="50" t="s">
        <v>51</v>
      </c>
      <c r="N172" s="33"/>
      <c r="P172" s="296"/>
    </row>
    <row r="173" spans="2:16" ht="18" customHeight="1">
      <c r="B173" s="30"/>
      <c r="C173" s="31" t="s">
        <v>0</v>
      </c>
      <c r="D173" s="31"/>
      <c r="E173" s="366"/>
      <c r="N173" s="32"/>
      <c r="P173" s="296"/>
    </row>
    <row r="174" spans="2:16" ht="27.75" customHeight="1" thickBot="1">
      <c r="B174" s="454" t="s">
        <v>1</v>
      </c>
      <c r="C174" s="455" t="s">
        <v>2</v>
      </c>
      <c r="D174" s="455"/>
      <c r="E174" s="456"/>
      <c r="F174" s="455" t="s">
        <v>3</v>
      </c>
      <c r="G174" s="457" t="s">
        <v>4</v>
      </c>
      <c r="H174" s="457" t="s">
        <v>5</v>
      </c>
      <c r="I174" s="455" t="s">
        <v>48</v>
      </c>
      <c r="J174" s="455" t="s">
        <v>615</v>
      </c>
      <c r="K174" s="455" t="s">
        <v>47</v>
      </c>
      <c r="L174" s="457" t="s">
        <v>6</v>
      </c>
      <c r="M174" s="458" t="s">
        <v>7</v>
      </c>
      <c r="N174" s="459" t="s">
        <v>29</v>
      </c>
      <c r="P174" s="296"/>
    </row>
    <row r="175" spans="2:16" ht="18" customHeight="1" thickTop="1">
      <c r="B175" s="37" t="s">
        <v>593</v>
      </c>
      <c r="E175" s="375"/>
      <c r="N175" s="32"/>
      <c r="P175" s="296"/>
    </row>
    <row r="176" spans="2:16" ht="30" customHeight="1">
      <c r="B176" s="20" t="s">
        <v>414</v>
      </c>
      <c r="C176" s="3" t="s">
        <v>637</v>
      </c>
      <c r="D176" s="8" t="s">
        <v>247</v>
      </c>
      <c r="E176" s="364">
        <f>10384/2</f>
        <v>5192</v>
      </c>
      <c r="F176" s="9">
        <f>E176</f>
        <v>5192</v>
      </c>
      <c r="G176" s="9">
        <v>0</v>
      </c>
      <c r="H176" s="9">
        <f>F176</f>
        <v>5192</v>
      </c>
      <c r="I176" s="9"/>
      <c r="J176" s="9"/>
      <c r="K176" s="9">
        <v>490.25</v>
      </c>
      <c r="L176" s="9">
        <f>K176</f>
        <v>490.25</v>
      </c>
      <c r="M176" s="9">
        <f>H176+I176-L176-J176</f>
        <v>4701.75</v>
      </c>
      <c r="N176" s="40"/>
      <c r="P176" s="296"/>
    </row>
    <row r="177" spans="2:17" s="26" customFormat="1" ht="30" customHeight="1" thickBot="1">
      <c r="B177" s="34" t="s">
        <v>9</v>
      </c>
      <c r="C177" s="35"/>
      <c r="D177" s="35"/>
      <c r="E177" s="372"/>
      <c r="F177" s="283">
        <f>SUM(F176)</f>
        <v>5192</v>
      </c>
      <c r="G177" s="283">
        <f t="shared" ref="G177:I177" si="42">SUM(G176)</f>
        <v>0</v>
      </c>
      <c r="H177" s="283">
        <f>SUM(H176)</f>
        <v>5192</v>
      </c>
      <c r="I177" s="283">
        <f t="shared" si="42"/>
        <v>0</v>
      </c>
      <c r="J177" s="283">
        <f>SUM(J176)</f>
        <v>0</v>
      </c>
      <c r="K177" s="283">
        <f>SUM(K176)</f>
        <v>490.25</v>
      </c>
      <c r="L177" s="283">
        <f>SUM(L176)</f>
        <v>490.25</v>
      </c>
      <c r="M177" s="283">
        <f>SUM(M176)</f>
        <v>4701.75</v>
      </c>
      <c r="N177" s="36"/>
      <c r="O177" s="293">
        <f>H177+I177-L177</f>
        <v>4701.75</v>
      </c>
      <c r="P177" s="296">
        <f t="shared" ref="P177" si="43">M177-O177</f>
        <v>0</v>
      </c>
    </row>
    <row r="178" spans="2:17" ht="18" customHeight="1" thickTop="1">
      <c r="B178" s="30"/>
      <c r="E178" s="375"/>
      <c r="F178" s="16"/>
      <c r="G178" s="16"/>
      <c r="H178" s="16"/>
      <c r="I178" s="16"/>
      <c r="J178" s="16"/>
      <c r="K178" s="16"/>
      <c r="L178" s="16"/>
      <c r="M178" s="16"/>
      <c r="N178" s="32"/>
      <c r="P178" s="296"/>
    </row>
    <row r="179" spans="2:17" ht="18" customHeight="1">
      <c r="B179" s="30"/>
      <c r="C179" s="31" t="s">
        <v>0</v>
      </c>
      <c r="D179" s="31"/>
      <c r="E179" s="366"/>
      <c r="N179" s="32"/>
      <c r="P179" s="296"/>
    </row>
    <row r="180" spans="2:17" ht="18" customHeight="1" thickBot="1">
      <c r="B180" s="454" t="s">
        <v>1</v>
      </c>
      <c r="C180" s="455" t="s">
        <v>2</v>
      </c>
      <c r="D180" s="455"/>
      <c r="E180" s="456"/>
      <c r="F180" s="455" t="s">
        <v>3</v>
      </c>
      <c r="G180" s="457" t="s">
        <v>4</v>
      </c>
      <c r="H180" s="457" t="s">
        <v>5</v>
      </c>
      <c r="I180" s="455" t="s">
        <v>48</v>
      </c>
      <c r="J180" s="455" t="s">
        <v>615</v>
      </c>
      <c r="K180" s="455" t="s">
        <v>47</v>
      </c>
      <c r="L180" s="457" t="s">
        <v>6</v>
      </c>
      <c r="M180" s="458" t="s">
        <v>7</v>
      </c>
      <c r="N180" s="459" t="s">
        <v>29</v>
      </c>
      <c r="P180" s="296"/>
    </row>
    <row r="181" spans="2:17" s="26" customFormat="1" ht="18.75" customHeight="1" thickTop="1">
      <c r="B181" s="37" t="s">
        <v>594</v>
      </c>
      <c r="C181" s="19"/>
      <c r="D181" s="19"/>
      <c r="E181" s="375"/>
      <c r="F181" s="19"/>
      <c r="G181" s="19"/>
      <c r="H181" s="19"/>
      <c r="I181" s="19"/>
      <c r="J181" s="19"/>
      <c r="K181" s="19"/>
      <c r="L181" s="19"/>
      <c r="M181" s="19"/>
      <c r="N181" s="46"/>
      <c r="P181" s="296"/>
    </row>
    <row r="182" spans="2:17" s="26" customFormat="1" ht="18.75" customHeight="1">
      <c r="B182" s="20" t="s">
        <v>415</v>
      </c>
      <c r="C182" s="238" t="s">
        <v>473</v>
      </c>
      <c r="D182" s="8" t="s">
        <v>586</v>
      </c>
      <c r="E182" s="376">
        <f>12210/2</f>
        <v>6105</v>
      </c>
      <c r="F182" s="513">
        <v>6738</v>
      </c>
      <c r="G182" s="27">
        <v>0</v>
      </c>
      <c r="H182" s="27">
        <f>F182</f>
        <v>6738</v>
      </c>
      <c r="I182" s="27"/>
      <c r="J182" s="562">
        <v>500</v>
      </c>
      <c r="K182" s="27">
        <v>792.51</v>
      </c>
      <c r="L182" s="27">
        <f>J182+K182</f>
        <v>1292.51</v>
      </c>
      <c r="M182" s="27">
        <f>H182-L182</f>
        <v>5445.49</v>
      </c>
      <c r="N182" s="46"/>
      <c r="P182" s="296"/>
    </row>
    <row r="183" spans="2:17" s="26" customFormat="1" ht="18.75" customHeight="1">
      <c r="B183" s="37"/>
      <c r="C183" s="19"/>
      <c r="D183" s="19"/>
      <c r="E183" s="375"/>
      <c r="F183" s="291">
        <f>F182</f>
        <v>6738</v>
      </c>
      <c r="G183" s="314">
        <f>SUM(G182)</f>
        <v>0</v>
      </c>
      <c r="H183" s="291">
        <f>SUM(H182)</f>
        <v>6738</v>
      </c>
      <c r="I183" s="291">
        <f t="shared" ref="I183:L183" si="44">SUM(I182)</f>
        <v>0</v>
      </c>
      <c r="J183" s="291">
        <f>SUM(J182)</f>
        <v>500</v>
      </c>
      <c r="K183" s="291">
        <f>SUM(K182)</f>
        <v>792.51</v>
      </c>
      <c r="L183" s="291">
        <f t="shared" si="44"/>
        <v>1292.51</v>
      </c>
      <c r="M183" s="291">
        <f>M182</f>
        <v>5445.49</v>
      </c>
      <c r="N183" s="46"/>
      <c r="O183" s="296">
        <f>H183+I183-L183</f>
        <v>5445.49</v>
      </c>
      <c r="P183" s="296">
        <f>M183-O183</f>
        <v>0</v>
      </c>
      <c r="Q183" s="296"/>
    </row>
    <row r="184" spans="2:17" s="26" customFormat="1" ht="18.75" customHeight="1">
      <c r="B184" s="30"/>
      <c r="C184" s="31" t="s">
        <v>0</v>
      </c>
      <c r="D184" s="31"/>
      <c r="E184" s="366"/>
      <c r="F184" s="19"/>
      <c r="G184" s="19"/>
      <c r="H184" s="19"/>
      <c r="I184" s="19"/>
      <c r="J184" s="19"/>
      <c r="K184" s="19"/>
      <c r="L184" s="19"/>
      <c r="M184" s="19"/>
      <c r="N184" s="32"/>
      <c r="O184" s="296"/>
      <c r="P184" s="296"/>
      <c r="Q184" s="296"/>
    </row>
    <row r="185" spans="2:17" s="26" customFormat="1" ht="21.75" customHeight="1" thickBot="1">
      <c r="B185" s="454" t="s">
        <v>1</v>
      </c>
      <c r="C185" s="455" t="s">
        <v>2</v>
      </c>
      <c r="D185" s="455"/>
      <c r="E185" s="456"/>
      <c r="F185" s="455" t="s">
        <v>3</v>
      </c>
      <c r="G185" s="457" t="s">
        <v>4</v>
      </c>
      <c r="H185" s="457" t="s">
        <v>5</v>
      </c>
      <c r="I185" s="455" t="s">
        <v>48</v>
      </c>
      <c r="J185" s="455" t="s">
        <v>615</v>
      </c>
      <c r="K185" s="455" t="s">
        <v>47</v>
      </c>
      <c r="L185" s="457" t="s">
        <v>6</v>
      </c>
      <c r="M185" s="458" t="s">
        <v>7</v>
      </c>
      <c r="N185" s="459" t="s">
        <v>29</v>
      </c>
      <c r="O185" s="296"/>
      <c r="P185" s="296"/>
      <c r="Q185" s="296"/>
    </row>
    <row r="186" spans="2:17" s="26" customFormat="1" ht="18.75" customHeight="1" thickTop="1">
      <c r="B186" s="631" t="s">
        <v>606</v>
      </c>
      <c r="C186" s="632"/>
      <c r="D186" s="308"/>
      <c r="E186" s="377"/>
      <c r="F186" s="308"/>
      <c r="G186" s="309"/>
      <c r="H186" s="309"/>
      <c r="I186" s="308"/>
      <c r="J186" s="308"/>
      <c r="K186" s="308"/>
      <c r="L186" s="309"/>
      <c r="M186" s="310"/>
      <c r="N186" s="311"/>
      <c r="O186" s="296"/>
      <c r="P186" s="296"/>
      <c r="Q186" s="296"/>
    </row>
    <row r="187" spans="2:17" s="26" customFormat="1" ht="18.75" customHeight="1">
      <c r="B187" s="20" t="s">
        <v>416</v>
      </c>
      <c r="C187" s="277" t="s">
        <v>617</v>
      </c>
      <c r="D187" s="315" t="s">
        <v>203</v>
      </c>
      <c r="E187" s="378">
        <f>10384/2</f>
        <v>5192</v>
      </c>
      <c r="F187" s="312">
        <f>E187</f>
        <v>5192</v>
      </c>
      <c r="G187" s="3">
        <v>0</v>
      </c>
      <c r="H187" s="312">
        <f>F187</f>
        <v>5192</v>
      </c>
      <c r="I187" s="3"/>
      <c r="J187" s="3"/>
      <c r="K187" s="3">
        <v>490.25</v>
      </c>
      <c r="L187" s="3">
        <f>K187</f>
        <v>490.25</v>
      </c>
      <c r="M187" s="312">
        <f>F187-L187-J187</f>
        <v>4701.75</v>
      </c>
      <c r="N187" s="313"/>
    </row>
    <row r="188" spans="2:17" s="26" customFormat="1" ht="18.75" customHeight="1">
      <c r="B188" s="37"/>
      <c r="C188"/>
      <c r="D188"/>
      <c r="E188" s="379"/>
      <c r="F188" s="314">
        <f>F187</f>
        <v>5192</v>
      </c>
      <c r="G188" s="290">
        <f>SUM(G187)</f>
        <v>0</v>
      </c>
      <c r="H188" s="314">
        <f>H187</f>
        <v>5192</v>
      </c>
      <c r="I188" s="290"/>
      <c r="J188" s="320">
        <f>SUM(J187)</f>
        <v>0</v>
      </c>
      <c r="K188" s="290">
        <f>K187</f>
        <v>490.25</v>
      </c>
      <c r="L188" s="290">
        <f>L187</f>
        <v>490.25</v>
      </c>
      <c r="M188" s="314">
        <f>M187</f>
        <v>4701.75</v>
      </c>
      <c r="N188" s="46"/>
      <c r="O188" s="296">
        <f>M188</f>
        <v>4701.75</v>
      </c>
    </row>
    <row r="189" spans="2:17" s="26" customFormat="1" ht="18.75" customHeight="1">
      <c r="B189" s="37"/>
      <c r="C189"/>
      <c r="D189"/>
      <c r="E189" s="379"/>
      <c r="F189" s="289"/>
      <c r="G189" s="19"/>
      <c r="H189" s="289"/>
      <c r="I189" s="19"/>
      <c r="J189" s="553"/>
      <c r="K189" s="19"/>
      <c r="L189" s="19"/>
      <c r="M189" s="289"/>
      <c r="N189" s="46"/>
      <c r="O189" s="296"/>
    </row>
    <row r="190" spans="2:17" s="26" customFormat="1" ht="18.75" customHeight="1">
      <c r="B190" s="30"/>
      <c r="C190" s="31" t="s">
        <v>0</v>
      </c>
      <c r="D190" s="31"/>
      <c r="E190" s="366"/>
      <c r="F190" s="19"/>
      <c r="G190" s="19"/>
      <c r="H190" s="19"/>
      <c r="I190" s="19"/>
      <c r="J190" s="19"/>
      <c r="K190" s="19"/>
      <c r="L190" s="19"/>
      <c r="M190" s="19"/>
      <c r="N190" s="32"/>
      <c r="O190" s="296"/>
    </row>
    <row r="191" spans="2:17" s="26" customFormat="1" ht="18.75" customHeight="1" thickBot="1">
      <c r="B191" s="454" t="s">
        <v>1</v>
      </c>
      <c r="C191" s="455" t="s">
        <v>2</v>
      </c>
      <c r="D191" s="455"/>
      <c r="E191" s="456"/>
      <c r="F191" s="455" t="s">
        <v>3</v>
      </c>
      <c r="G191" s="457" t="s">
        <v>4</v>
      </c>
      <c r="H191" s="457" t="s">
        <v>5</v>
      </c>
      <c r="I191" s="455" t="s">
        <v>48</v>
      </c>
      <c r="J191" s="455" t="s">
        <v>615</v>
      </c>
      <c r="K191" s="455" t="s">
        <v>47</v>
      </c>
      <c r="L191" s="457" t="s">
        <v>6</v>
      </c>
      <c r="M191" s="458" t="s">
        <v>7</v>
      </c>
      <c r="N191" s="459" t="s">
        <v>29</v>
      </c>
      <c r="O191" s="296"/>
    </row>
    <row r="192" spans="2:17" s="26" customFormat="1" ht="18.75" customHeight="1" thickTop="1">
      <c r="B192" s="631" t="s">
        <v>711</v>
      </c>
      <c r="C192" s="632"/>
      <c r="D192" s="308"/>
      <c r="E192" s="377"/>
      <c r="F192" s="308"/>
      <c r="G192" s="309"/>
      <c r="H192" s="309"/>
      <c r="I192" s="308"/>
      <c r="J192" s="308"/>
      <c r="K192" s="308"/>
      <c r="L192" s="309"/>
      <c r="M192" s="310"/>
      <c r="N192" s="311"/>
      <c r="O192" s="296"/>
    </row>
    <row r="193" spans="1:15" s="26" customFormat="1" ht="18.75" customHeight="1">
      <c r="B193" s="20" t="s">
        <v>417</v>
      </c>
      <c r="C193" s="277" t="s">
        <v>712</v>
      </c>
      <c r="D193" s="315" t="s">
        <v>203</v>
      </c>
      <c r="E193" s="378">
        <f>10384/2</f>
        <v>5192</v>
      </c>
      <c r="F193" s="312">
        <v>7002</v>
      </c>
      <c r="G193" s="3">
        <v>0</v>
      </c>
      <c r="H193" s="312">
        <f>F193</f>
        <v>7002</v>
      </c>
      <c r="I193" s="3"/>
      <c r="J193" s="3"/>
      <c r="K193" s="3">
        <v>848.9</v>
      </c>
      <c r="L193" s="3">
        <f>K193</f>
        <v>848.9</v>
      </c>
      <c r="M193" s="312">
        <f>F193-L193-J193</f>
        <v>6153.1</v>
      </c>
      <c r="N193" s="313"/>
      <c r="O193" s="296"/>
    </row>
    <row r="194" spans="1:15" s="26" customFormat="1" ht="18.75" customHeight="1">
      <c r="B194" s="37"/>
      <c r="C194"/>
      <c r="D194"/>
      <c r="E194" s="379"/>
      <c r="F194" s="314">
        <f>F193</f>
        <v>7002</v>
      </c>
      <c r="G194" s="290">
        <f>SUM(G193)</f>
        <v>0</v>
      </c>
      <c r="H194" s="314">
        <f>H193</f>
        <v>7002</v>
      </c>
      <c r="I194" s="290"/>
      <c r="J194" s="320">
        <f>SUM(J193)</f>
        <v>0</v>
      </c>
      <c r="K194" s="290">
        <f>K193</f>
        <v>848.9</v>
      </c>
      <c r="L194" s="290">
        <f>L193</f>
        <v>848.9</v>
      </c>
      <c r="M194" s="314">
        <f>M193</f>
        <v>6153.1</v>
      </c>
      <c r="N194" s="46"/>
      <c r="O194" s="296"/>
    </row>
    <row r="195" spans="1:15" s="26" customFormat="1" ht="18.75" customHeight="1">
      <c r="B195" s="37"/>
      <c r="C195"/>
      <c r="D195"/>
      <c r="E195" s="379"/>
      <c r="F195" s="289"/>
      <c r="G195" s="19"/>
      <c r="H195" s="289"/>
      <c r="I195" s="19"/>
      <c r="J195" s="553"/>
      <c r="K195" s="19"/>
      <c r="L195" s="19"/>
      <c r="M195" s="289"/>
      <c r="N195" s="46"/>
      <c r="O195" s="296"/>
    </row>
    <row r="196" spans="1:15" ht="30" customHeight="1" thickBot="1">
      <c r="B196" s="633" t="s">
        <v>27</v>
      </c>
      <c r="C196" s="634"/>
      <c r="D196" s="55"/>
      <c r="E196" s="380"/>
      <c r="F196" s="56">
        <f>F9+F14+F18+F24+F34+F39+F47+F53+F63+F70+F75+F93+F98+F103+F116+F122+F140+F153+F158+F166+F171+F177+F183+F188+F194</f>
        <v>292320.44999999995</v>
      </c>
      <c r="G196" s="56">
        <f>G9+G14+G18+G24+G34+G39+G47+G53+G63+G70+G75+G93+G98+G103+G116+G122+G140+G153+G158+G166+G171+G177</f>
        <v>0</v>
      </c>
      <c r="H196" s="56">
        <f>H9+H14+H18+H24+H34+H39+H47+H53+H63+H70+H75+H93+H98+H103+H116+H122+H140+H153+H158+H166+H171+H177+H183+H188+H194</f>
        <v>292320.44999999995</v>
      </c>
      <c r="I196" s="56">
        <f>I9+I14+I18+I24+I34+I39+I47+I53+I63+I70+I75+I93+I98+I103+I116+I122+I140+I153+I158+I166+I171+I177+I183+I188+I194</f>
        <v>43.13</v>
      </c>
      <c r="J196" s="56">
        <f>J188+J183+J177+J171+J166+J158+J153+J140+J122+J116+J103+J98+J93+J75+J70+J63+J53+J47+J39+J34+J24+J18+J14+J9+J194</f>
        <v>5500</v>
      </c>
      <c r="K196" s="56">
        <f>K9+K14+K18+K24+K34+K39+K47+K53+K63+K70+K75+K93+K98+K103+K116+K122+K140+K153+K158+K166+K171+K177+K183+K188+K194</f>
        <v>30365.18</v>
      </c>
      <c r="L196" s="56">
        <f>L9+L14+L18+L24+L34+L39+L47+L53+L63+L70+L75+L93+L98+L103+L116+L122+L140+L153+L158+L166+L171+L177+L183+L188+L194</f>
        <v>35865.180000000008</v>
      </c>
      <c r="M196" s="233">
        <f>M9+M14+M18+M24+M34+M39+M47+M53+M63+M70+M75+M93+M98+M103+M116+M122+M140+M153+M158+M166+M171+M177+M183+M188+M194</f>
        <v>256498.40000000002</v>
      </c>
      <c r="N196" s="32"/>
    </row>
    <row r="197" spans="1:15" ht="12" thickTop="1">
      <c r="B197" s="30"/>
      <c r="E197" s="375"/>
      <c r="M197" s="234"/>
      <c r="N197" s="32"/>
    </row>
    <row r="198" spans="1:15">
      <c r="B198" s="30"/>
      <c r="E198" s="375"/>
      <c r="N198" s="32"/>
    </row>
    <row r="199" spans="1:15">
      <c r="A199" s="32"/>
      <c r="C199" s="48"/>
      <c r="E199" s="375"/>
      <c r="F199" s="48" t="s">
        <v>28</v>
      </c>
      <c r="G199" s="48" t="s">
        <v>28</v>
      </c>
      <c r="H199" s="48"/>
      <c r="K199" s="19" t="s">
        <v>28</v>
      </c>
      <c r="L199" s="48" t="s">
        <v>28</v>
      </c>
      <c r="M199" s="48" t="s">
        <v>28</v>
      </c>
      <c r="N199" s="32"/>
    </row>
    <row r="200" spans="1:15" ht="12.75">
      <c r="B200" s="625" t="s">
        <v>459</v>
      </c>
      <c r="C200" s="626"/>
      <c r="D200" s="57"/>
      <c r="E200" s="381"/>
      <c r="F200" s="635" t="s">
        <v>45</v>
      </c>
      <c r="G200" s="635"/>
      <c r="H200" s="635"/>
      <c r="I200" s="166"/>
      <c r="J200" s="166"/>
      <c r="K200" s="59"/>
      <c r="L200" s="626" t="s">
        <v>625</v>
      </c>
      <c r="M200" s="626"/>
      <c r="N200" s="32"/>
    </row>
    <row r="201" spans="1:15">
      <c r="B201" s="627" t="s">
        <v>462</v>
      </c>
      <c r="C201" s="628"/>
      <c r="D201" s="60"/>
      <c r="E201" s="382"/>
      <c r="F201" s="628" t="s">
        <v>462</v>
      </c>
      <c r="G201" s="628"/>
      <c r="H201" s="628"/>
      <c r="I201" s="48"/>
      <c r="J201" s="60"/>
      <c r="K201" s="48"/>
      <c r="L201" s="628" t="s">
        <v>461</v>
      </c>
      <c r="M201" s="628"/>
      <c r="N201" s="33"/>
    </row>
    <row r="205" spans="1:15">
      <c r="C205" s="354"/>
    </row>
    <row r="206" spans="1:15">
      <c r="F206" s="289">
        <f>SUM(F183+F177+F171+F166+F158+F153+F140+F122+F103+F98+F116+F93+F75+F70+F63+F53+F47+F39+F34+F24+F18+F14+F9+F188+F194)</f>
        <v>292320.44999999995</v>
      </c>
      <c r="K206" s="292">
        <f>H196+I196-L196</f>
        <v>256498.39999999997</v>
      </c>
      <c r="L206" s="292"/>
      <c r="M206" s="16">
        <f>F196+I196-K196-J196</f>
        <v>256498.39999999997</v>
      </c>
      <c r="O206" s="303">
        <f>SUM(O7:O201)</f>
        <v>249345.30000000002</v>
      </c>
    </row>
    <row r="207" spans="1:15">
      <c r="F207" s="595">
        <f>F196-H196</f>
        <v>0</v>
      </c>
      <c r="K207" s="595">
        <f>M196-K206</f>
        <v>0</v>
      </c>
      <c r="M207" s="596">
        <f>M196-M206</f>
        <v>0</v>
      </c>
    </row>
    <row r="208" spans="1:15">
      <c r="H208" s="289"/>
      <c r="M208" s="321">
        <f>SUM(M206:M207)</f>
        <v>256498.39999999997</v>
      </c>
    </row>
    <row r="209" spans="13:13">
      <c r="M209" s="292"/>
    </row>
    <row r="210" spans="13:13">
      <c r="M210" s="292"/>
    </row>
  </sheetData>
  <mergeCells count="27">
    <mergeCell ref="B129:N129"/>
    <mergeCell ref="B146:N146"/>
    <mergeCell ref="L201:M201"/>
    <mergeCell ref="B186:C186"/>
    <mergeCell ref="L200:M200"/>
    <mergeCell ref="B161:N161"/>
    <mergeCell ref="B162:N162"/>
    <mergeCell ref="B196:C196"/>
    <mergeCell ref="F201:H201"/>
    <mergeCell ref="F200:H200"/>
    <mergeCell ref="B192:C192"/>
    <mergeCell ref="C1:I1"/>
    <mergeCell ref="B200:C200"/>
    <mergeCell ref="B201:C201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7:N147"/>
    <mergeCell ref="B106:N106"/>
    <mergeCell ref="B107:N107"/>
    <mergeCell ref="B128:N128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zoomScale="98" zoomScaleNormal="98" workbookViewId="0">
      <selection activeCell="C12" sqref="C12:D37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8" width="25.85546875" style="120" customWidth="1"/>
    <col min="19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42" t="s">
        <v>218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2:22" ht="17.25">
      <c r="B4" s="645" t="s">
        <v>802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37" t="s">
        <v>60</v>
      </c>
      <c r="J8" s="638"/>
      <c r="K8" s="639"/>
      <c r="L8" s="517"/>
      <c r="M8" s="517"/>
      <c r="N8" s="637" t="s">
        <v>61</v>
      </c>
      <c r="O8" s="640"/>
      <c r="P8" s="517"/>
      <c r="Q8" s="648" t="s">
        <v>217</v>
      </c>
    </row>
    <row r="9" spans="2:22" s="125" customFormat="1" ht="12.75" customHeight="1">
      <c r="B9" s="487" t="s">
        <v>158</v>
      </c>
      <c r="C9" s="641" t="s">
        <v>52</v>
      </c>
      <c r="D9" s="641"/>
      <c r="E9" s="641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615</v>
      </c>
      <c r="N9" s="522"/>
      <c r="O9" s="523" t="s">
        <v>159</v>
      </c>
      <c r="P9" s="524" t="s">
        <v>160</v>
      </c>
      <c r="Q9" s="649"/>
      <c r="R9" s="332" t="s">
        <v>629</v>
      </c>
      <c r="S9" s="332" t="s">
        <v>630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200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50"/>
    </row>
    <row r="11" spans="2:22">
      <c r="B11" s="126" t="s">
        <v>201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202</v>
      </c>
      <c r="F12" s="3" t="s">
        <v>203</v>
      </c>
      <c r="G12" s="383">
        <f>20530/2</f>
        <v>10265</v>
      </c>
      <c r="H12" s="93">
        <v>15</v>
      </c>
      <c r="I12" s="91">
        <f t="shared" ref="I12:I27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204</v>
      </c>
      <c r="F13" s="3" t="s">
        <v>205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7" si="1">(I13+J13)</f>
        <v>6368</v>
      </c>
      <c r="L13" s="91">
        <v>0</v>
      </c>
      <c r="M13" s="91"/>
      <c r="N13" s="91">
        <v>713.48</v>
      </c>
      <c r="O13" s="91">
        <f t="shared" ref="O13:O37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 t="shared" ref="B14:B37" si="3">B13+1</f>
        <v>3</v>
      </c>
      <c r="C14" s="89"/>
      <c r="D14" s="89"/>
      <c r="E14" s="80" t="s">
        <v>206</v>
      </c>
      <c r="F14" s="3" t="s">
        <v>205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7" si="4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si="3"/>
        <v>4</v>
      </c>
      <c r="C15" s="89"/>
      <c r="D15" s="89"/>
      <c r="E15" s="80" t="s">
        <v>208</v>
      </c>
      <c r="F15" s="3" t="s">
        <v>209</v>
      </c>
      <c r="G15" s="383">
        <f t="shared" ref="G15:G23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4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3"/>
        <v>5</v>
      </c>
      <c r="C16" s="89"/>
      <c r="D16" s="89"/>
      <c r="E16" s="80" t="s">
        <v>211</v>
      </c>
      <c r="F16" s="3" t="s">
        <v>209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4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3"/>
        <v>6</v>
      </c>
      <c r="C17" s="80"/>
      <c r="D17" s="80"/>
      <c r="E17" s="144" t="s">
        <v>212</v>
      </c>
      <c r="F17" s="133" t="s">
        <v>209</v>
      </c>
      <c r="G17" s="384">
        <f t="shared" si="5"/>
        <v>4621</v>
      </c>
      <c r="H17" s="134">
        <v>15</v>
      </c>
      <c r="I17" s="82"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4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3"/>
        <v>7</v>
      </c>
      <c r="C18" s="89"/>
      <c r="D18" s="89"/>
      <c r="E18" s="80" t="s">
        <v>88</v>
      </c>
      <c r="F18" s="3" t="s">
        <v>209</v>
      </c>
      <c r="G18" s="383">
        <f t="shared" si="5"/>
        <v>4621</v>
      </c>
      <c r="H18" s="93">
        <v>15</v>
      </c>
      <c r="I18" s="91"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 t="shared" si="4"/>
        <v>4225.5</v>
      </c>
      <c r="Q18" s="129"/>
      <c r="R18" s="130"/>
      <c r="S18" s="130"/>
      <c r="T18" s="130"/>
      <c r="U18" s="130"/>
      <c r="V18" s="131"/>
    </row>
    <row r="19" spans="2:22" s="132" customFormat="1" ht="30" customHeight="1">
      <c r="B19" s="89">
        <f t="shared" si="3"/>
        <v>8</v>
      </c>
      <c r="C19" s="89"/>
      <c r="D19" s="89"/>
      <c r="E19" s="80" t="s">
        <v>596</v>
      </c>
      <c r="F19" s="3" t="s">
        <v>209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4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3"/>
        <v>9</v>
      </c>
      <c r="C20" s="89"/>
      <c r="D20" s="89"/>
      <c r="E20" s="80" t="s">
        <v>213</v>
      </c>
      <c r="F20" s="3" t="s">
        <v>209</v>
      </c>
      <c r="G20" s="383">
        <f t="shared" si="5"/>
        <v>4621</v>
      </c>
      <c r="H20" s="93">
        <v>15</v>
      </c>
      <c r="I20" s="91">
        <f t="shared" si="0"/>
        <v>4621</v>
      </c>
      <c r="J20" s="136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4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3"/>
        <v>10</v>
      </c>
      <c r="C21" s="89"/>
      <c r="D21" s="89"/>
      <c r="E21" s="80" t="s">
        <v>214</v>
      </c>
      <c r="F21" s="3" t="s">
        <v>209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4"/>
        <v>4225.5</v>
      </c>
      <c r="Q21" s="129"/>
      <c r="R21" s="130"/>
      <c r="S21" s="130"/>
      <c r="T21" s="271">
        <v>10</v>
      </c>
      <c r="U21" s="272">
        <f>I21/15*T21</f>
        <v>3080.6666666666665</v>
      </c>
      <c r="V21" s="131">
        <f>U21</f>
        <v>3080.6666666666665</v>
      </c>
    </row>
    <row r="22" spans="2:22" s="132" customFormat="1" ht="30" customHeight="1">
      <c r="B22" s="89">
        <f t="shared" si="3"/>
        <v>11</v>
      </c>
      <c r="C22" s="89"/>
      <c r="D22" s="89"/>
      <c r="E22" s="80" t="s">
        <v>215</v>
      </c>
      <c r="F22" s="3" t="s">
        <v>209</v>
      </c>
      <c r="G22" s="383">
        <f t="shared" si="5"/>
        <v>4621</v>
      </c>
      <c r="H22" s="93">
        <v>15</v>
      </c>
      <c r="I22" s="91">
        <f t="shared" si="0"/>
        <v>4621</v>
      </c>
      <c r="J22" s="91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4"/>
        <v>4225.5</v>
      </c>
      <c r="Q22" s="129"/>
      <c r="T22" s="130"/>
      <c r="U22" s="130"/>
      <c r="V22" s="131"/>
    </row>
    <row r="23" spans="2:22" s="132" customFormat="1" ht="30" customHeight="1">
      <c r="B23" s="89">
        <f t="shared" si="3"/>
        <v>12</v>
      </c>
      <c r="C23" s="89"/>
      <c r="D23" s="89"/>
      <c r="E23" s="144" t="s">
        <v>286</v>
      </c>
      <c r="F23" s="3" t="s">
        <v>209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4"/>
        <v>4225.5</v>
      </c>
      <c r="Q23" s="129"/>
      <c r="T23" s="130" t="s">
        <v>287</v>
      </c>
      <c r="U23" s="130"/>
      <c r="V23" s="131"/>
    </row>
    <row r="24" spans="2:22" s="132" customFormat="1" ht="30" customHeight="1">
      <c r="B24" s="89">
        <f t="shared" si="3"/>
        <v>13</v>
      </c>
      <c r="C24" s="89"/>
      <c r="D24" s="89"/>
      <c r="E24" s="549" t="s">
        <v>690</v>
      </c>
      <c r="F24" s="3" t="s">
        <v>209</v>
      </c>
      <c r="G24" s="383">
        <f>9242/2</f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606">
        <v>1500</v>
      </c>
      <c r="N24" s="91">
        <v>395.5</v>
      </c>
      <c r="O24" s="91">
        <f>N24+M24</f>
        <v>1895.5</v>
      </c>
      <c r="P24" s="128">
        <f>K24-O24</f>
        <v>2725.5</v>
      </c>
      <c r="Q24" s="129"/>
      <c r="T24" s="130"/>
      <c r="U24" s="130"/>
      <c r="V24" s="131"/>
    </row>
    <row r="25" spans="2:22" s="132" customFormat="1" ht="30" customHeight="1">
      <c r="B25" s="89">
        <f t="shared" si="3"/>
        <v>14</v>
      </c>
      <c r="C25" s="89"/>
      <c r="D25" s="89"/>
      <c r="E25" s="549" t="s">
        <v>684</v>
      </c>
      <c r="F25" s="3" t="s">
        <v>209</v>
      </c>
      <c r="G25" s="383"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4"/>
        <v>4225.5</v>
      </c>
      <c r="Q25" s="129"/>
      <c r="R25" s="132" t="s">
        <v>685</v>
      </c>
      <c r="S25" s="132" t="s">
        <v>717</v>
      </c>
      <c r="T25" s="130"/>
      <c r="U25" s="130"/>
      <c r="V25" s="131"/>
    </row>
    <row r="26" spans="2:22" s="132" customFormat="1" ht="30" customHeight="1">
      <c r="B26" s="89">
        <f t="shared" si="3"/>
        <v>15</v>
      </c>
      <c r="C26" s="89"/>
      <c r="D26" s="89"/>
      <c r="E26" s="80" t="s">
        <v>285</v>
      </c>
      <c r="F26" s="3" t="s">
        <v>134</v>
      </c>
      <c r="G26" s="383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>4225.5-M26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3"/>
        <v>16</v>
      </c>
      <c r="C27" s="89"/>
      <c r="D27" s="89"/>
      <c r="E27" s="89" t="s">
        <v>291</v>
      </c>
      <c r="F27" s="3" t="s">
        <v>209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4"/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3"/>
        <v>17</v>
      </c>
      <c r="C28" s="236"/>
      <c r="D28" s="236"/>
      <c r="E28" s="236" t="s">
        <v>660</v>
      </c>
      <c r="F28" s="137" t="s">
        <v>209</v>
      </c>
      <c r="G28" s="385">
        <f>9242/2</f>
        <v>4621</v>
      </c>
      <c r="H28" s="138">
        <v>15</v>
      </c>
      <c r="I28" s="136">
        <f>G28</f>
        <v>4621</v>
      </c>
      <c r="J28" s="136"/>
      <c r="K28" s="136">
        <f t="shared" ref="K28" si="6">I28</f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4"/>
        <v>4225.5</v>
      </c>
      <c r="Q28" s="129"/>
      <c r="S28" s="560" t="s">
        <v>718</v>
      </c>
      <c r="T28" s="130"/>
      <c r="U28" s="130"/>
      <c r="V28" s="131"/>
    </row>
    <row r="29" spans="2:22" s="132" customFormat="1" ht="30" customHeight="1">
      <c r="B29" s="89">
        <f t="shared" si="3"/>
        <v>18</v>
      </c>
      <c r="C29" s="236"/>
      <c r="D29" s="236"/>
      <c r="E29" s="236" t="s">
        <v>705</v>
      </c>
      <c r="F29" s="137" t="s">
        <v>209</v>
      </c>
      <c r="G29" s="385"/>
      <c r="H29" s="138">
        <v>15</v>
      </c>
      <c r="I29" s="136">
        <v>4621</v>
      </c>
      <c r="J29" s="136"/>
      <c r="K29" s="136"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4"/>
        <v>4225.5</v>
      </c>
      <c r="Q29" s="129"/>
      <c r="R29" s="132" t="s">
        <v>706</v>
      </c>
      <c r="S29" s="132" t="s">
        <v>719</v>
      </c>
      <c r="T29" s="130"/>
      <c r="U29" s="130"/>
      <c r="V29" s="131"/>
    </row>
    <row r="30" spans="2:22" s="132" customFormat="1" ht="30" customHeight="1">
      <c r="B30" s="89">
        <f t="shared" si="3"/>
        <v>19</v>
      </c>
      <c r="C30" s="236"/>
      <c r="D30" s="236"/>
      <c r="E30" s="236" t="s">
        <v>727</v>
      </c>
      <c r="F30" s="137" t="s">
        <v>209</v>
      </c>
      <c r="G30" s="385"/>
      <c r="H30" s="138">
        <v>15</v>
      </c>
      <c r="I30" s="136">
        <v>4621</v>
      </c>
      <c r="J30" s="136"/>
      <c r="K30" s="136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4"/>
        <v>4225.5</v>
      </c>
      <c r="Q30" s="129"/>
      <c r="R30" s="132" t="s">
        <v>728</v>
      </c>
      <c r="T30" s="130"/>
      <c r="U30" s="130"/>
      <c r="V30" s="131"/>
    </row>
    <row r="31" spans="2:22" s="132" customFormat="1" ht="30" customHeight="1">
      <c r="B31" s="89">
        <f t="shared" si="3"/>
        <v>20</v>
      </c>
      <c r="C31" s="236"/>
      <c r="D31" s="236"/>
      <c r="E31" s="236" t="s">
        <v>748</v>
      </c>
      <c r="F31" s="137" t="s">
        <v>209</v>
      </c>
      <c r="G31" s="385"/>
      <c r="H31" s="138">
        <v>15</v>
      </c>
      <c r="I31" s="136">
        <v>4621</v>
      </c>
      <c r="J31" s="136"/>
      <c r="K31" s="136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4"/>
        <v>4225.5</v>
      </c>
      <c r="Q31" s="129"/>
      <c r="R31" s="132" t="s">
        <v>779</v>
      </c>
      <c r="T31" s="130"/>
      <c r="U31" s="130"/>
      <c r="V31" s="131"/>
    </row>
    <row r="32" spans="2:22" s="132" customFormat="1" ht="30" customHeight="1">
      <c r="B32" s="89">
        <f t="shared" si="3"/>
        <v>21</v>
      </c>
      <c r="C32" s="236"/>
      <c r="D32" s="236"/>
      <c r="E32" s="236" t="s">
        <v>755</v>
      </c>
      <c r="F32" s="137" t="s">
        <v>209</v>
      </c>
      <c r="G32" s="385"/>
      <c r="H32" s="138">
        <v>15</v>
      </c>
      <c r="I32" s="136">
        <v>4621</v>
      </c>
      <c r="J32" s="136"/>
      <c r="K32" s="136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4"/>
        <v>4225.5</v>
      </c>
      <c r="Q32" s="129"/>
      <c r="R32" s="132" t="s">
        <v>780</v>
      </c>
      <c r="T32" s="130"/>
      <c r="U32" s="130"/>
      <c r="V32" s="131"/>
    </row>
    <row r="33" spans="1:22" s="132" customFormat="1" ht="30" customHeight="1">
      <c r="A33" s="575" t="s">
        <v>777</v>
      </c>
      <c r="B33" s="89">
        <f t="shared" si="3"/>
        <v>22</v>
      </c>
      <c r="C33" s="236"/>
      <c r="D33" s="236"/>
      <c r="E33" s="236" t="s">
        <v>601</v>
      </c>
      <c r="F33" s="137" t="s">
        <v>209</v>
      </c>
      <c r="G33" s="385"/>
      <c r="H33" s="138">
        <v>15</v>
      </c>
      <c r="I33" s="136">
        <v>4621</v>
      </c>
      <c r="J33" s="136"/>
      <c r="K33" s="136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</v>
      </c>
      <c r="Q33" s="129"/>
      <c r="R33" s="132" t="s">
        <v>770</v>
      </c>
      <c r="T33" s="130"/>
      <c r="U33" s="130"/>
      <c r="V33" s="131"/>
    </row>
    <row r="34" spans="1:22" s="132" customFormat="1" ht="30" customHeight="1">
      <c r="A34" s="575" t="s">
        <v>777</v>
      </c>
      <c r="B34" s="89">
        <f t="shared" si="3"/>
        <v>23</v>
      </c>
      <c r="C34" s="236"/>
      <c r="D34" s="236"/>
      <c r="E34" s="236" t="s">
        <v>773</v>
      </c>
      <c r="F34" s="137" t="s">
        <v>209</v>
      </c>
      <c r="G34" s="385"/>
      <c r="H34" s="138">
        <v>15</v>
      </c>
      <c r="I34" s="136">
        <v>4621</v>
      </c>
      <c r="J34" s="136"/>
      <c r="K34" s="136">
        <v>4621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774</v>
      </c>
      <c r="T34" s="130"/>
      <c r="U34" s="130"/>
      <c r="V34" s="131"/>
    </row>
    <row r="35" spans="1:22" s="132" customFormat="1" ht="30" customHeight="1">
      <c r="A35" s="575" t="s">
        <v>777</v>
      </c>
      <c r="B35" s="89">
        <f t="shared" si="3"/>
        <v>24</v>
      </c>
      <c r="C35" s="236"/>
      <c r="D35" s="236"/>
      <c r="E35" s="236" t="s">
        <v>775</v>
      </c>
      <c r="F35" s="137" t="s">
        <v>209</v>
      </c>
      <c r="G35" s="385"/>
      <c r="H35" s="138">
        <v>15</v>
      </c>
      <c r="I35" s="136">
        <v>4621</v>
      </c>
      <c r="J35" s="136"/>
      <c r="K35" s="136">
        <v>4621</v>
      </c>
      <c r="L35" s="91">
        <v>0</v>
      </c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R35" s="132" t="s">
        <v>774</v>
      </c>
      <c r="T35" s="130"/>
      <c r="U35" s="130"/>
      <c r="V35" s="131"/>
    </row>
    <row r="36" spans="1:22" s="132" customFormat="1" ht="30" customHeight="1">
      <c r="A36" s="575" t="s">
        <v>777</v>
      </c>
      <c r="B36" s="89">
        <f t="shared" si="3"/>
        <v>25</v>
      </c>
      <c r="C36" s="236"/>
      <c r="D36" s="236"/>
      <c r="E36" s="236" t="s">
        <v>776</v>
      </c>
      <c r="F36" s="137" t="s">
        <v>209</v>
      </c>
      <c r="G36" s="385"/>
      <c r="H36" s="138">
        <v>15</v>
      </c>
      <c r="I36" s="136">
        <v>4621</v>
      </c>
      <c r="J36" s="136"/>
      <c r="K36" s="136">
        <v>4621</v>
      </c>
      <c r="L36" s="91">
        <v>0</v>
      </c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774</v>
      </c>
      <c r="T36" s="130"/>
      <c r="U36" s="130"/>
      <c r="V36" s="131"/>
    </row>
    <row r="37" spans="1:22" s="132" customFormat="1" ht="30" customHeight="1">
      <c r="B37" s="89">
        <f t="shared" si="3"/>
        <v>26</v>
      </c>
      <c r="C37" s="89"/>
      <c r="D37" s="89"/>
      <c r="E37" s="89" t="s">
        <v>227</v>
      </c>
      <c r="F37" s="3" t="s">
        <v>228</v>
      </c>
      <c r="G37" s="386">
        <f>4592/2</f>
        <v>2296</v>
      </c>
      <c r="H37" s="93">
        <v>15</v>
      </c>
      <c r="I37" s="91">
        <f>G37</f>
        <v>2296</v>
      </c>
      <c r="J37" s="91"/>
      <c r="K37" s="91">
        <f t="shared" si="1"/>
        <v>2296</v>
      </c>
      <c r="L37" s="91">
        <v>43.13</v>
      </c>
      <c r="M37" s="91"/>
      <c r="N37" s="91"/>
      <c r="O37" s="91">
        <f t="shared" si="2"/>
        <v>0</v>
      </c>
      <c r="P37" s="128">
        <f t="shared" si="4"/>
        <v>2339.13</v>
      </c>
      <c r="Q37" s="358"/>
      <c r="T37" s="130"/>
      <c r="U37" s="130"/>
      <c r="V37" s="131"/>
    </row>
    <row r="38" spans="1:22" s="132" customFormat="1" ht="30" customHeight="1" thickBot="1">
      <c r="B38" s="19"/>
      <c r="C38" s="299" t="s">
        <v>50</v>
      </c>
      <c r="D38" s="299"/>
      <c r="E38" s="299"/>
      <c r="F38" s="299"/>
      <c r="G38" s="299"/>
      <c r="H38" s="299"/>
      <c r="I38" s="300">
        <f t="shared" ref="I38:O38" si="7">SUM(I12:I37)</f>
        <v>126959</v>
      </c>
      <c r="J38" s="300">
        <f t="shared" si="7"/>
        <v>0</v>
      </c>
      <c r="K38" s="300">
        <f t="shared" si="7"/>
        <v>126959</v>
      </c>
      <c r="L38" s="300">
        <f t="shared" si="7"/>
        <v>43.13</v>
      </c>
      <c r="M38" s="300">
        <f t="shared" si="7"/>
        <v>1500</v>
      </c>
      <c r="N38" s="300">
        <f t="shared" si="7"/>
        <v>11673.84</v>
      </c>
      <c r="O38" s="300">
        <f t="shared" si="7"/>
        <v>13173.84</v>
      </c>
      <c r="P38" s="301">
        <f>SUM(P12:P37)</f>
        <v>113828.29000000001</v>
      </c>
      <c r="R38" s="131"/>
      <c r="S38" s="131"/>
    </row>
    <row r="39" spans="1:22" ht="12" thickTop="1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1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235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 t="s">
        <v>28</v>
      </c>
      <c r="H43" s="139"/>
      <c r="I43" s="139"/>
      <c r="J43" s="139"/>
      <c r="K43" s="139"/>
      <c r="L43" s="139"/>
      <c r="M43" s="139"/>
      <c r="N43" s="141"/>
      <c r="O43" s="139"/>
      <c r="P43" s="142"/>
    </row>
    <row r="44" spans="1:22">
      <c r="G44" s="69"/>
      <c r="H44" s="69"/>
      <c r="I44" s="69"/>
      <c r="J44" s="69"/>
      <c r="K44" s="69"/>
      <c r="L44" s="69"/>
    </row>
    <row r="45" spans="1:22" ht="13.5" customHeight="1">
      <c r="B45" s="621" t="s">
        <v>459</v>
      </c>
      <c r="C45" s="621"/>
      <c r="D45" s="621"/>
      <c r="E45" s="621"/>
      <c r="F45" s="6"/>
      <c r="G45" s="636" t="s">
        <v>45</v>
      </c>
      <c r="H45" s="636"/>
      <c r="I45" s="636"/>
      <c r="J45" s="636"/>
      <c r="K45" s="636"/>
      <c r="L45" s="636"/>
      <c r="M45" s="319"/>
      <c r="N45" s="6"/>
      <c r="O45" s="636" t="s">
        <v>626</v>
      </c>
      <c r="P45" s="636"/>
      <c r="Q45" s="636"/>
    </row>
    <row r="46" spans="1:22" ht="12.75">
      <c r="B46" s="622" t="s">
        <v>150</v>
      </c>
      <c r="C46" s="622"/>
      <c r="D46" s="622"/>
      <c r="E46" s="622"/>
      <c r="F46" s="6"/>
      <c r="G46" s="6"/>
      <c r="H46" s="6" t="s">
        <v>151</v>
      </c>
      <c r="I46" s="6"/>
      <c r="J46" s="6"/>
      <c r="K46" s="6"/>
      <c r="L46" s="6"/>
      <c r="M46" s="6"/>
      <c r="N46" s="6" t="s">
        <v>152</v>
      </c>
      <c r="O46" s="622" t="s">
        <v>30</v>
      </c>
      <c r="P46" s="622"/>
      <c r="Q46" s="622"/>
    </row>
    <row r="47" spans="1:22">
      <c r="K47" s="143"/>
    </row>
    <row r="48" spans="1:22">
      <c r="P48" s="143"/>
    </row>
    <row r="49" spans="16:16">
      <c r="P49" s="143"/>
    </row>
    <row r="50" spans="16:16">
      <c r="P50" s="201"/>
    </row>
    <row r="54" spans="16:16">
      <c r="P54" s="297">
        <f>K38+L38-O38</f>
        <v>113828.29000000001</v>
      </c>
    </row>
    <row r="55" spans="16:16">
      <c r="P55" s="297">
        <f>P38-P54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5:E45"/>
    <mergeCell ref="O45:Q45"/>
    <mergeCell ref="B46:E46"/>
    <mergeCell ref="O46:Q46"/>
    <mergeCell ref="G45:L45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topLeftCell="A22" workbookViewId="0">
      <selection activeCell="B26" sqref="B26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55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6"/>
    </row>
    <row r="3" spans="2:17" s="61" customFormat="1" ht="19.5">
      <c r="B3" s="642" t="s">
        <v>218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2:17" s="61" customFormat="1" ht="17.25">
      <c r="B4" s="663" t="s">
        <v>803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57" t="s">
        <v>60</v>
      </c>
      <c r="K8" s="658"/>
      <c r="L8" s="659"/>
      <c r="M8" s="151"/>
      <c r="N8" s="657" t="s">
        <v>61</v>
      </c>
      <c r="O8" s="660"/>
      <c r="P8" s="151"/>
      <c r="Q8" s="152"/>
    </row>
    <row r="9" spans="2:17" ht="18" customHeight="1">
      <c r="B9" s="487" t="s">
        <v>158</v>
      </c>
      <c r="C9" s="641" t="s">
        <v>52</v>
      </c>
      <c r="D9" s="641"/>
      <c r="E9" s="641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66" t="s">
        <v>620</v>
      </c>
      <c r="O9" s="667"/>
      <c r="P9" s="495" t="s">
        <v>160</v>
      </c>
      <c r="Q9" s="664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615</v>
      </c>
      <c r="N10" s="498" t="s">
        <v>75</v>
      </c>
      <c r="O10" s="498" t="s">
        <v>167</v>
      </c>
      <c r="P10" s="504" t="s">
        <v>168</v>
      </c>
      <c r="Q10" s="665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602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f>B12+1</f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4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4" si="2">L13-M13-O13</f>
        <v>4225.5</v>
      </c>
      <c r="Q13" s="159"/>
    </row>
    <row r="14" spans="2:17" ht="30" customHeight="1">
      <c r="B14" s="3">
        <f t="shared" ref="B14:B26" si="3">B13+1</f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2">
        <f>9242/2</f>
        <v>4621</v>
      </c>
      <c r="I14" s="3">
        <v>15</v>
      </c>
      <c r="J14" s="83">
        <f t="shared" ref="J14:J21" si="4">H14</f>
        <v>4621</v>
      </c>
      <c r="K14" s="160"/>
      <c r="L14" s="82">
        <f t="shared" si="0"/>
        <v>4621</v>
      </c>
      <c r="M14" s="555">
        <v>500</v>
      </c>
      <c r="N14" s="91">
        <v>395.5</v>
      </c>
      <c r="O14" s="82">
        <f>M14+N14</f>
        <v>895.5</v>
      </c>
      <c r="P14" s="158">
        <f>L14-O14</f>
        <v>3725.5</v>
      </c>
      <c r="Q14" s="159"/>
    </row>
    <row r="15" spans="2:17" ht="30" customHeight="1">
      <c r="B15" s="3">
        <f t="shared" si="3"/>
        <v>4</v>
      </c>
      <c r="C15" s="3" t="s">
        <v>92</v>
      </c>
      <c r="D15" s="3" t="s">
        <v>181</v>
      </c>
      <c r="E15" s="133" t="s">
        <v>182</v>
      </c>
      <c r="F15" s="3" t="s">
        <v>172</v>
      </c>
      <c r="G15" s="137" t="s">
        <v>183</v>
      </c>
      <c r="H15" s="392">
        <f t="shared" ref="H15:H21" si="5">9242/2</f>
        <v>4621</v>
      </c>
      <c r="I15" s="3">
        <v>15</v>
      </c>
      <c r="J15" s="83">
        <f t="shared" si="4"/>
        <v>4621</v>
      </c>
      <c r="K15" s="160"/>
      <c r="L15" s="82">
        <f t="shared" si="0"/>
        <v>4621</v>
      </c>
      <c r="M15" s="157"/>
      <c r="N15" s="91">
        <v>395.5</v>
      </c>
      <c r="O15" s="82">
        <f t="shared" si="1"/>
        <v>395.5</v>
      </c>
      <c r="P15" s="158">
        <f t="shared" si="2"/>
        <v>4225.5</v>
      </c>
      <c r="Q15" s="159"/>
    </row>
    <row r="16" spans="2:17" ht="30" customHeight="1">
      <c r="B16" s="3">
        <f t="shared" si="3"/>
        <v>5</v>
      </c>
      <c r="C16" s="3" t="s">
        <v>180</v>
      </c>
      <c r="D16" s="3" t="s">
        <v>184</v>
      </c>
      <c r="E16" s="133" t="s">
        <v>185</v>
      </c>
      <c r="F16" s="3" t="s">
        <v>172</v>
      </c>
      <c r="G16" s="3" t="s">
        <v>186</v>
      </c>
      <c r="H16" s="392">
        <f t="shared" si="5"/>
        <v>4621</v>
      </c>
      <c r="I16" s="3">
        <v>15</v>
      </c>
      <c r="J16" s="83">
        <f t="shared" si="4"/>
        <v>4621</v>
      </c>
      <c r="K16" s="160"/>
      <c r="L16" s="82">
        <f t="shared" si="0"/>
        <v>4621</v>
      </c>
      <c r="M16" s="576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f t="shared" si="3"/>
        <v>6</v>
      </c>
      <c r="C17" s="3" t="s">
        <v>187</v>
      </c>
      <c r="D17" s="3" t="s">
        <v>188</v>
      </c>
      <c r="E17" s="133" t="s">
        <v>189</v>
      </c>
      <c r="F17" s="3" t="s">
        <v>172</v>
      </c>
      <c r="G17" s="3" t="s">
        <v>190</v>
      </c>
      <c r="H17" s="392">
        <f t="shared" si="5"/>
        <v>4621</v>
      </c>
      <c r="I17" s="3">
        <v>15</v>
      </c>
      <c r="J17" s="83">
        <f t="shared" si="4"/>
        <v>4621</v>
      </c>
      <c r="K17" s="160"/>
      <c r="L17" s="82">
        <f t="shared" si="0"/>
        <v>4621</v>
      </c>
      <c r="M17" s="576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f t="shared" si="3"/>
        <v>7</v>
      </c>
      <c r="C18" s="3" t="s">
        <v>105</v>
      </c>
      <c r="D18" s="3" t="s">
        <v>145</v>
      </c>
      <c r="E18" s="133" t="s">
        <v>191</v>
      </c>
      <c r="F18" s="3" t="s">
        <v>172</v>
      </c>
      <c r="G18" s="3" t="s">
        <v>192</v>
      </c>
      <c r="H18" s="392">
        <f t="shared" si="5"/>
        <v>4621</v>
      </c>
      <c r="I18" s="3">
        <v>15</v>
      </c>
      <c r="J18" s="83">
        <f t="shared" si="4"/>
        <v>4621</v>
      </c>
      <c r="K18" s="160"/>
      <c r="L18" s="82">
        <f t="shared" si="0"/>
        <v>4621</v>
      </c>
      <c r="M18" s="576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f t="shared" si="3"/>
        <v>8</v>
      </c>
      <c r="C19" s="3" t="s">
        <v>193</v>
      </c>
      <c r="D19" s="3" t="s">
        <v>194</v>
      </c>
      <c r="E19" s="133" t="s">
        <v>195</v>
      </c>
      <c r="F19" s="3" t="s">
        <v>172</v>
      </c>
      <c r="G19" s="3" t="s">
        <v>196</v>
      </c>
      <c r="H19" s="392">
        <f t="shared" si="5"/>
        <v>4621</v>
      </c>
      <c r="I19" s="3">
        <v>15</v>
      </c>
      <c r="J19" s="83">
        <f t="shared" si="4"/>
        <v>4621</v>
      </c>
      <c r="K19" s="160"/>
      <c r="L19" s="82">
        <f t="shared" si="0"/>
        <v>4621</v>
      </c>
      <c r="M19" s="576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f t="shared" si="3"/>
        <v>9</v>
      </c>
      <c r="C20" s="3" t="s">
        <v>113</v>
      </c>
      <c r="D20" s="3" t="s">
        <v>92</v>
      </c>
      <c r="E20" s="133" t="s">
        <v>197</v>
      </c>
      <c r="F20" s="3" t="s">
        <v>172</v>
      </c>
      <c r="G20" s="3"/>
      <c r="H20" s="392">
        <f t="shared" si="5"/>
        <v>4621</v>
      </c>
      <c r="I20" s="3">
        <v>15</v>
      </c>
      <c r="J20" s="83">
        <f t="shared" si="4"/>
        <v>4621</v>
      </c>
      <c r="K20" s="160"/>
      <c r="L20" s="82">
        <f t="shared" si="0"/>
        <v>4621</v>
      </c>
      <c r="M20" s="576">
        <v>0</v>
      </c>
      <c r="N20" s="91">
        <v>395.5</v>
      </c>
      <c r="O20" s="82">
        <f t="shared" si="1"/>
        <v>395.5</v>
      </c>
      <c r="P20" s="158">
        <f>L20-M20-O20</f>
        <v>4225.5</v>
      </c>
      <c r="Q20" s="159"/>
    </row>
    <row r="21" spans="2:18" ht="30" customHeight="1">
      <c r="B21" s="3">
        <f t="shared" si="3"/>
        <v>10</v>
      </c>
      <c r="C21" s="133" t="s">
        <v>106</v>
      </c>
      <c r="D21" s="133" t="s">
        <v>198</v>
      </c>
      <c r="E21" s="133" t="s">
        <v>199</v>
      </c>
      <c r="F21" s="133" t="s">
        <v>172</v>
      </c>
      <c r="G21" s="133"/>
      <c r="H21" s="392">
        <f t="shared" si="5"/>
        <v>4621</v>
      </c>
      <c r="I21" s="133">
        <v>15</v>
      </c>
      <c r="J21" s="83">
        <f t="shared" si="4"/>
        <v>4621</v>
      </c>
      <c r="K21" s="333"/>
      <c r="L21" s="82">
        <f t="shared" si="0"/>
        <v>4621</v>
      </c>
      <c r="M21" s="576"/>
      <c r="N21" s="91">
        <v>395.5</v>
      </c>
      <c r="O21" s="82">
        <f t="shared" si="1"/>
        <v>395.5</v>
      </c>
      <c r="P21" s="334">
        <f t="shared" si="2"/>
        <v>4225.5</v>
      </c>
      <c r="Q21" s="159"/>
    </row>
    <row r="22" spans="2:18" ht="30" customHeight="1">
      <c r="B22" s="3">
        <f t="shared" si="3"/>
        <v>11</v>
      </c>
      <c r="C22" s="3" t="s">
        <v>123</v>
      </c>
      <c r="D22" s="3" t="s">
        <v>223</v>
      </c>
      <c r="E22" s="133" t="s">
        <v>224</v>
      </c>
      <c r="F22" s="3" t="s">
        <v>172</v>
      </c>
      <c r="G22" s="3"/>
      <c r="H22" s="392">
        <f>9242/2</f>
        <v>4621</v>
      </c>
      <c r="I22" s="3">
        <v>15</v>
      </c>
      <c r="J22" s="83">
        <f>H22</f>
        <v>4621</v>
      </c>
      <c r="K22" s="160"/>
      <c r="L22" s="82">
        <f t="shared" si="0"/>
        <v>4621</v>
      </c>
      <c r="M22" s="576"/>
      <c r="N22" s="91">
        <v>395.5</v>
      </c>
      <c r="O22" s="82">
        <f t="shared" si="1"/>
        <v>395.5</v>
      </c>
      <c r="P22" s="158">
        <f t="shared" si="2"/>
        <v>4225.5</v>
      </c>
      <c r="Q22" s="159"/>
    </row>
    <row r="23" spans="2:18" ht="30" customHeight="1">
      <c r="B23" s="3">
        <f t="shared" si="3"/>
        <v>12</v>
      </c>
      <c r="C23" s="137" t="s">
        <v>174</v>
      </c>
      <c r="D23" s="137" t="s">
        <v>225</v>
      </c>
      <c r="E23" s="284" t="s">
        <v>226</v>
      </c>
      <c r="F23" s="137" t="s">
        <v>172</v>
      </c>
      <c r="G23" s="137"/>
      <c r="H23" s="393">
        <f>9242/2</f>
        <v>4621</v>
      </c>
      <c r="I23" s="137">
        <v>15</v>
      </c>
      <c r="J23" s="285">
        <f>H23</f>
        <v>4621</v>
      </c>
      <c r="K23" s="160"/>
      <c r="L23" s="99">
        <f t="shared" si="0"/>
        <v>4621</v>
      </c>
      <c r="M23" s="157"/>
      <c r="N23" s="136">
        <v>395.5</v>
      </c>
      <c r="O23" s="99">
        <f t="shared" si="1"/>
        <v>395.5</v>
      </c>
      <c r="P23" s="158">
        <f t="shared" si="2"/>
        <v>4225.5</v>
      </c>
      <c r="Q23" s="155"/>
    </row>
    <row r="24" spans="2:18" ht="24.75" customHeight="1">
      <c r="B24" s="3">
        <f t="shared" si="3"/>
        <v>13</v>
      </c>
      <c r="C24" s="161" t="s">
        <v>82</v>
      </c>
      <c r="D24" s="161" t="s">
        <v>87</v>
      </c>
      <c r="E24" s="161" t="s">
        <v>206</v>
      </c>
      <c r="F24" s="161" t="s">
        <v>172</v>
      </c>
      <c r="G24" s="161"/>
      <c r="H24" s="394">
        <f>9242/2</f>
        <v>4621</v>
      </c>
      <c r="I24" s="161">
        <v>15</v>
      </c>
      <c r="J24" s="156">
        <f>H24</f>
        <v>4621</v>
      </c>
      <c r="K24" s="288"/>
      <c r="L24" s="156">
        <f t="shared" si="0"/>
        <v>4621</v>
      </c>
      <c r="M24" s="288"/>
      <c r="N24" s="288">
        <v>395.5</v>
      </c>
      <c r="O24" s="82">
        <f t="shared" si="1"/>
        <v>395.5</v>
      </c>
      <c r="P24" s="158">
        <f t="shared" si="2"/>
        <v>4225.5</v>
      </c>
      <c r="Q24" s="161"/>
      <c r="R24" s="132" t="s">
        <v>758</v>
      </c>
    </row>
    <row r="25" spans="2:18" ht="24.75" customHeight="1">
      <c r="B25" s="3">
        <f t="shared" si="3"/>
        <v>14</v>
      </c>
      <c r="C25" s="161" t="s">
        <v>699</v>
      </c>
      <c r="D25" s="161" t="s">
        <v>113</v>
      </c>
      <c r="E25" s="161" t="s">
        <v>700</v>
      </c>
      <c r="F25" s="161" t="s">
        <v>172</v>
      </c>
      <c r="G25" s="161"/>
      <c r="H25" s="394"/>
      <c r="I25" s="161">
        <v>15</v>
      </c>
      <c r="J25" s="156">
        <v>4621</v>
      </c>
      <c r="K25" s="288"/>
      <c r="L25" s="156">
        <v>4621</v>
      </c>
      <c r="M25" s="288"/>
      <c r="N25" s="288">
        <v>395.5</v>
      </c>
      <c r="O25" s="82">
        <f t="shared" si="1"/>
        <v>395.5</v>
      </c>
      <c r="P25" s="90">
        <f>L25-O25</f>
        <v>4225.5</v>
      </c>
      <c r="Q25" s="161"/>
      <c r="R25" s="132" t="s">
        <v>757</v>
      </c>
    </row>
    <row r="26" spans="2:18" ht="24.75" customHeight="1">
      <c r="B26" s="3">
        <f t="shared" si="3"/>
        <v>15</v>
      </c>
      <c r="C26" s="161" t="s">
        <v>765</v>
      </c>
      <c r="D26" s="161" t="s">
        <v>766</v>
      </c>
      <c r="E26" s="161" t="s">
        <v>767</v>
      </c>
      <c r="F26" s="161" t="s">
        <v>172</v>
      </c>
      <c r="G26" s="161"/>
      <c r="H26" s="394"/>
      <c r="I26" s="161">
        <v>15</v>
      </c>
      <c r="J26" s="156">
        <v>4621</v>
      </c>
      <c r="K26" s="288"/>
      <c r="L26" s="156">
        <v>4621</v>
      </c>
      <c r="M26" s="288"/>
      <c r="N26" s="288">
        <v>395.5</v>
      </c>
      <c r="O26" s="82">
        <f t="shared" si="1"/>
        <v>395.5</v>
      </c>
      <c r="P26" s="90">
        <v>4225.5</v>
      </c>
      <c r="Q26" s="161"/>
      <c r="R26" s="564" t="s">
        <v>768</v>
      </c>
    </row>
    <row r="27" spans="2:18" ht="22.5" customHeight="1" thickBot="1">
      <c r="B27" s="661" t="s">
        <v>50</v>
      </c>
      <c r="C27" s="662"/>
      <c r="D27" s="662"/>
      <c r="E27" s="662"/>
      <c r="F27" s="662"/>
      <c r="G27" s="662"/>
      <c r="H27" s="662"/>
      <c r="I27" s="662"/>
      <c r="J27" s="286">
        <f>SUM(J12:J26)</f>
        <v>71448</v>
      </c>
      <c r="K27" s="286">
        <f t="shared" ref="K27" si="6">SUM(K12:K24)</f>
        <v>0</v>
      </c>
      <c r="L27" s="286">
        <f>SUM(L12:L26)</f>
        <v>71448</v>
      </c>
      <c r="M27" s="286">
        <f>SUM(M12:M24)</f>
        <v>500</v>
      </c>
      <c r="N27" s="286">
        <f>SUM(N12:N26)</f>
        <v>6332.93</v>
      </c>
      <c r="O27" s="286">
        <f>SUM(O12:O26)</f>
        <v>6832.93</v>
      </c>
      <c r="P27" s="287">
        <f>SUM(P12:P26)</f>
        <v>64615.07</v>
      </c>
      <c r="Q27" s="162"/>
    </row>
    <row r="28" spans="2:18" ht="22.5" customHeight="1" thickTop="1">
      <c r="B28" s="163"/>
      <c r="C28" s="163"/>
      <c r="D28" s="163"/>
      <c r="E28" s="163"/>
      <c r="F28" s="163"/>
      <c r="G28" s="163"/>
      <c r="H28" s="395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8" ht="22.5" customHeight="1">
      <c r="B29" s="163"/>
      <c r="C29" s="163"/>
      <c r="D29" s="163"/>
      <c r="E29" s="163"/>
      <c r="F29" s="163"/>
      <c r="G29" s="163"/>
      <c r="H29" s="395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8" ht="22.5" customHeight="1">
      <c r="B30" s="167"/>
      <c r="C30" s="167"/>
      <c r="D30" s="167"/>
      <c r="E30" s="167"/>
      <c r="F30" s="163"/>
      <c r="G30" s="163"/>
      <c r="H30" s="395"/>
      <c r="I30" s="654"/>
      <c r="J30" s="654"/>
      <c r="K30" s="654"/>
      <c r="L30" s="654"/>
      <c r="M30" s="654"/>
      <c r="N30" s="164"/>
      <c r="O30" s="652"/>
      <c r="P30" s="652"/>
      <c r="Q30" s="652"/>
    </row>
    <row r="31" spans="2:18" ht="15" customHeight="1">
      <c r="B31" s="651" t="s">
        <v>459</v>
      </c>
      <c r="C31" s="651"/>
      <c r="D31" s="651"/>
      <c r="E31" s="651"/>
      <c r="F31" s="166"/>
      <c r="G31" s="166"/>
      <c r="H31" s="396"/>
      <c r="I31" s="651" t="s">
        <v>45</v>
      </c>
      <c r="J31" s="651"/>
      <c r="K31" s="651"/>
      <c r="L31" s="651"/>
      <c r="M31" s="651"/>
      <c r="O31" s="651" t="s">
        <v>626</v>
      </c>
      <c r="P31" s="651"/>
      <c r="Q31" s="651"/>
    </row>
    <row r="32" spans="2:18" ht="12.75">
      <c r="B32" s="651" t="s">
        <v>150</v>
      </c>
      <c r="C32" s="651"/>
      <c r="D32" s="651"/>
      <c r="E32" s="651"/>
      <c r="F32" s="166"/>
      <c r="I32" s="651" t="s">
        <v>151</v>
      </c>
      <c r="J32" s="651"/>
      <c r="K32" s="651"/>
      <c r="L32" s="651"/>
      <c r="M32" s="651"/>
      <c r="O32" s="653" t="s">
        <v>709</v>
      </c>
      <c r="P32" s="653"/>
      <c r="Q32" s="653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L27-O27</f>
        <v>64615.07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13" workbookViewId="0">
      <selection activeCell="C11" sqref="C11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72" t="s">
        <v>218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4"/>
    </row>
    <row r="4" spans="2:21" ht="17.25">
      <c r="B4" s="645" t="s">
        <v>804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6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579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69"/>
      <c r="G7" s="669"/>
      <c r="H7" s="669"/>
      <c r="I7" s="428"/>
      <c r="J7" s="429"/>
      <c r="K7" s="668" t="s">
        <v>60</v>
      </c>
      <c r="L7" s="668"/>
      <c r="M7" s="668"/>
      <c r="N7" s="668"/>
      <c r="O7" s="668"/>
      <c r="P7" s="670" t="s">
        <v>61</v>
      </c>
      <c r="Q7" s="671"/>
      <c r="R7" s="430"/>
      <c r="S7" s="677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78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615</v>
      </c>
      <c r="P9" s="446" t="s">
        <v>75</v>
      </c>
      <c r="Q9" s="446" t="s">
        <v>76</v>
      </c>
      <c r="R9" s="448" t="s">
        <v>77</v>
      </c>
      <c r="S9" s="679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580">
        <v>1000</v>
      </c>
      <c r="P11" s="82">
        <v>130.86000000000001</v>
      </c>
      <c r="Q11" s="83">
        <f>O11+P11</f>
        <v>1130.8600000000001</v>
      </c>
      <c r="R11" s="84">
        <f>M11-Q11</f>
        <v>2367.14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180</v>
      </c>
      <c r="D16" s="7" t="s">
        <v>216</v>
      </c>
      <c r="E16" s="7" t="s">
        <v>221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610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0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1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274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292</v>
      </c>
      <c r="D27" s="2" t="s">
        <v>180</v>
      </c>
      <c r="E27" s="2" t="s">
        <v>293</v>
      </c>
      <c r="F27" s="116" t="s">
        <v>273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80" t="s">
        <v>58</v>
      </c>
      <c r="C35" s="681"/>
      <c r="D35" s="681"/>
      <c r="E35" s="681"/>
      <c r="F35" s="682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1000</v>
      </c>
      <c r="P35" s="105">
        <f t="shared" si="6"/>
        <v>4821.21</v>
      </c>
      <c r="Q35" s="105">
        <f t="shared" si="6"/>
        <v>5821.2100000000009</v>
      </c>
      <c r="R35" s="186">
        <f t="shared" si="6"/>
        <v>75116.479999999981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36" t="s">
        <v>708</v>
      </c>
      <c r="C38" s="636"/>
      <c r="D38" s="636"/>
      <c r="E38" s="636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36" t="s">
        <v>626</v>
      </c>
      <c r="Q38" s="636"/>
      <c r="R38" s="636"/>
      <c r="S38" s="76"/>
    </row>
    <row r="39" spans="1:21" ht="15" customHeight="1">
      <c r="A39" s="76"/>
      <c r="B39" s="622" t="s">
        <v>707</v>
      </c>
      <c r="C39" s="622"/>
      <c r="D39" s="622"/>
      <c r="E39" s="622"/>
      <c r="F39" s="622" t="s">
        <v>151</v>
      </c>
      <c r="G39" s="622"/>
      <c r="H39" s="622"/>
      <c r="I39" s="622"/>
      <c r="J39" s="622"/>
      <c r="K39" s="622"/>
      <c r="L39" s="622"/>
      <c r="M39" s="622"/>
      <c r="N39" s="6"/>
      <c r="O39" s="6"/>
      <c r="P39" s="622" t="s">
        <v>30</v>
      </c>
      <c r="Q39" s="622"/>
      <c r="R39" s="622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</f>
        <v>75116.479999999996</v>
      </c>
    </row>
    <row r="45" spans="1:21">
      <c r="M45" s="70"/>
      <c r="R45" s="62">
        <f>R35-R44</f>
        <v>0</v>
      </c>
    </row>
    <row r="52" spans="6:14">
      <c r="F52" s="622"/>
      <c r="G52" s="622"/>
      <c r="H52" s="622"/>
      <c r="I52" s="622"/>
      <c r="J52" s="622"/>
      <c r="K52" s="622"/>
      <c r="L52" s="622"/>
      <c r="M52" s="622"/>
      <c r="N52" s="622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A11" sqref="A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84" t="s">
        <v>698</v>
      </c>
      <c r="B2" s="684"/>
    </row>
    <row r="3" spans="1:3" ht="7.5" customHeight="1">
      <c r="A3" s="259"/>
      <c r="B3" s="259"/>
    </row>
    <row r="4" spans="1:3">
      <c r="A4" s="683" t="s">
        <v>580</v>
      </c>
      <c r="B4" s="683"/>
    </row>
    <row r="6" spans="1:3">
      <c r="A6" s="183" t="s">
        <v>288</v>
      </c>
      <c r="B6" s="183" t="s">
        <v>289</v>
      </c>
      <c r="C6" s="183" t="s">
        <v>290</v>
      </c>
    </row>
    <row r="7" spans="1:3">
      <c r="A7" s="183"/>
      <c r="B7" s="183"/>
      <c r="C7" s="184"/>
    </row>
    <row r="8" spans="1:3">
      <c r="A8" s="183" t="s">
        <v>609</v>
      </c>
      <c r="B8" s="183" t="s">
        <v>307</v>
      </c>
      <c r="C8" s="184">
        <v>1312.5</v>
      </c>
    </row>
    <row r="9" spans="1:3">
      <c r="A9" s="183" t="s">
        <v>668</v>
      </c>
      <c r="B9" s="183" t="s">
        <v>669</v>
      </c>
      <c r="C9" s="184">
        <v>1902.6</v>
      </c>
    </row>
    <row r="10" spans="1:3">
      <c r="A10" s="183" t="s">
        <v>733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J26" sqref="J26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4" width="16.42578125" style="168" customWidth="1"/>
    <col min="5" max="5" width="0.28515625" style="168" customWidth="1"/>
    <col min="6" max="7" width="13.42578125" style="168"/>
    <col min="8" max="8" width="9.28515625" style="168" bestFit="1" customWidth="1"/>
    <col min="9" max="9" width="13.42578125" style="168"/>
    <col min="10" max="10" width="10.140625" style="168" bestFit="1" customWidth="1"/>
    <col min="11" max="11" width="28.5703125" style="168" customWidth="1"/>
    <col min="12" max="12" width="15.140625" style="168" customWidth="1"/>
    <col min="13" max="14" width="13.42578125" style="600"/>
    <col min="15" max="16384" width="13.42578125" style="168"/>
  </cols>
  <sheetData>
    <row r="1" spans="2:15">
      <c r="B1" s="45"/>
      <c r="C1" s="613"/>
      <c r="D1" s="614"/>
      <c r="E1" s="614"/>
      <c r="F1" s="614"/>
      <c r="G1" s="614"/>
      <c r="H1" s="29"/>
      <c r="I1" s="29"/>
      <c r="J1" s="29"/>
      <c r="K1" s="29"/>
      <c r="L1" s="19"/>
    </row>
    <row r="2" spans="2:15" ht="19.5">
      <c r="B2" s="615" t="s">
        <v>218</v>
      </c>
      <c r="C2" s="616"/>
      <c r="D2" s="616"/>
      <c r="E2" s="616"/>
      <c r="F2" s="616"/>
      <c r="G2" s="616"/>
      <c r="H2" s="616"/>
      <c r="I2" s="616"/>
      <c r="J2" s="616"/>
      <c r="K2" s="617"/>
      <c r="L2" s="597"/>
    </row>
    <row r="3" spans="2:15">
      <c r="B3" s="618" t="s">
        <v>805</v>
      </c>
      <c r="C3" s="619"/>
      <c r="D3" s="619"/>
      <c r="E3" s="619"/>
      <c r="F3" s="619"/>
      <c r="G3" s="619"/>
      <c r="H3" s="619"/>
      <c r="I3" s="619"/>
      <c r="J3" s="619"/>
      <c r="K3" s="620"/>
      <c r="L3" s="581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32"/>
      <c r="L4" s="19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33"/>
      <c r="L5" s="19"/>
    </row>
    <row r="6" spans="2:15" ht="36.75" customHeight="1">
      <c r="B6" s="589" t="s">
        <v>1</v>
      </c>
      <c r="C6" s="590" t="s">
        <v>2</v>
      </c>
      <c r="D6" s="590" t="s">
        <v>233</v>
      </c>
      <c r="E6" s="591" t="s">
        <v>4</v>
      </c>
      <c r="F6" s="591" t="s">
        <v>5</v>
      </c>
      <c r="G6" s="590" t="s">
        <v>48</v>
      </c>
      <c r="H6" s="590" t="s">
        <v>47</v>
      </c>
      <c r="I6" s="592" t="s">
        <v>6</v>
      </c>
      <c r="J6" s="593" t="s">
        <v>7</v>
      </c>
      <c r="K6" s="594" t="s">
        <v>29</v>
      </c>
      <c r="L6" s="598"/>
    </row>
    <row r="7" spans="2:15">
      <c r="B7" s="54" t="s">
        <v>781</v>
      </c>
      <c r="C7" s="19"/>
      <c r="D7" s="19"/>
      <c r="E7" s="19"/>
      <c r="F7" s="19"/>
      <c r="G7" s="19"/>
      <c r="H7" s="19"/>
      <c r="I7" s="19"/>
      <c r="J7" s="19"/>
      <c r="K7" s="32"/>
      <c r="L7" s="19"/>
      <c r="O7" s="170"/>
    </row>
    <row r="8" spans="2:15" ht="39.950000000000003" customHeight="1">
      <c r="B8" s="171" t="s">
        <v>275</v>
      </c>
      <c r="C8" s="3" t="s">
        <v>612</v>
      </c>
      <c r="D8" s="582" t="s">
        <v>259</v>
      </c>
      <c r="E8" s="9">
        <v>0</v>
      </c>
      <c r="F8" s="9">
        <v>3585</v>
      </c>
      <c r="G8" s="9">
        <v>0</v>
      </c>
      <c r="H8" s="9"/>
      <c r="I8" s="9">
        <f>H8</f>
        <v>0</v>
      </c>
      <c r="J8" s="9">
        <f>F8+G8-H8</f>
        <v>3585</v>
      </c>
      <c r="K8" s="3"/>
      <c r="L8" s="19" t="s">
        <v>785</v>
      </c>
      <c r="M8" s="600">
        <v>685.34</v>
      </c>
      <c r="O8" s="170">
        <v>3585</v>
      </c>
    </row>
    <row r="9" spans="2:15" ht="39.950000000000003" customHeight="1">
      <c r="B9" s="171" t="s">
        <v>276</v>
      </c>
      <c r="C9" s="3" t="s">
        <v>264</v>
      </c>
      <c r="D9" s="9" t="s">
        <v>253</v>
      </c>
      <c r="E9" s="9">
        <v>0</v>
      </c>
      <c r="F9" s="9">
        <v>2375</v>
      </c>
      <c r="G9" s="9">
        <v>0</v>
      </c>
      <c r="H9" s="9"/>
      <c r="I9" s="9">
        <f t="shared" ref="I9:I12" si="0">H9</f>
        <v>0</v>
      </c>
      <c r="J9" s="9">
        <f t="shared" ref="J9" si="1">F9+G9-H9</f>
        <v>2375</v>
      </c>
      <c r="K9" s="3"/>
      <c r="L9" s="19" t="s">
        <v>785</v>
      </c>
      <c r="M9" s="600">
        <v>479.68</v>
      </c>
      <c r="O9" s="170">
        <v>2375</v>
      </c>
    </row>
    <row r="10" spans="2:15" ht="15" customHeight="1">
      <c r="B10" s="583"/>
      <c r="C10" s="686" t="s">
        <v>783</v>
      </c>
      <c r="D10" s="686"/>
      <c r="E10" s="588"/>
      <c r="F10" s="588">
        <f>SUM(F8:F9)</f>
        <v>5960</v>
      </c>
      <c r="G10" s="588">
        <f>SUM(G8:G9)</f>
        <v>0</v>
      </c>
      <c r="H10" s="588"/>
      <c r="I10" s="588">
        <f>SUM(I8:I9)</f>
        <v>0</v>
      </c>
      <c r="J10" s="588">
        <f>SUM(J8:J9)</f>
        <v>5960</v>
      </c>
      <c r="K10" s="19"/>
      <c r="L10" s="19"/>
      <c r="N10" s="602">
        <f>M12/15</f>
        <v>149.4</v>
      </c>
      <c r="O10" s="170"/>
    </row>
    <row r="11" spans="2:15" ht="15" customHeight="1">
      <c r="B11" s="685" t="s">
        <v>782</v>
      </c>
      <c r="C11" s="685"/>
      <c r="D11" s="292"/>
      <c r="E11" s="292"/>
      <c r="F11" s="292"/>
      <c r="G11" s="292"/>
      <c r="H11" s="292"/>
      <c r="I11" s="292"/>
      <c r="J11" s="292"/>
      <c r="K11" s="19"/>
      <c r="L11" s="19"/>
      <c r="M11" s="601"/>
      <c r="N11" s="602">
        <f>N10*3</f>
        <v>448.20000000000005</v>
      </c>
      <c r="O11" s="584"/>
    </row>
    <row r="12" spans="2:15" s="424" customFormat="1" ht="39.950000000000003" customHeight="1">
      <c r="B12" s="421" t="s">
        <v>277</v>
      </c>
      <c r="C12" s="323" t="s">
        <v>454</v>
      </c>
      <c r="D12" s="355" t="s">
        <v>255</v>
      </c>
      <c r="E12" s="355">
        <v>0</v>
      </c>
      <c r="F12" s="355">
        <v>2016.9</v>
      </c>
      <c r="G12" s="355">
        <v>0</v>
      </c>
      <c r="H12" s="355"/>
      <c r="I12" s="355">
        <f t="shared" si="0"/>
        <v>0</v>
      </c>
      <c r="J12" s="355">
        <f>F12</f>
        <v>2016.9</v>
      </c>
      <c r="K12" s="323"/>
      <c r="L12" s="139" t="s">
        <v>786</v>
      </c>
      <c r="M12" s="602">
        <v>2241</v>
      </c>
      <c r="N12" s="600">
        <f>N11*100%*90%</f>
        <v>403.38000000000005</v>
      </c>
      <c r="O12" s="425">
        <v>2016.9</v>
      </c>
    </row>
    <row r="13" spans="2:15" ht="39.950000000000003" customHeight="1">
      <c r="B13" s="171" t="s">
        <v>278</v>
      </c>
      <c r="C13" s="3" t="s">
        <v>784</v>
      </c>
      <c r="D13" s="599" t="s">
        <v>788</v>
      </c>
      <c r="E13" s="9"/>
      <c r="F13" s="9">
        <v>2770.6</v>
      </c>
      <c r="G13" s="9">
        <v>0</v>
      </c>
      <c r="H13" s="9"/>
      <c r="I13" s="9">
        <v>0</v>
      </c>
      <c r="J13" s="9">
        <f>F13</f>
        <v>2770.6</v>
      </c>
      <c r="K13" s="3"/>
      <c r="L13" s="19" t="s">
        <v>787</v>
      </c>
      <c r="M13" s="600">
        <v>4621</v>
      </c>
      <c r="N13" s="600">
        <f>M13*100%*60%</f>
        <v>2772.6</v>
      </c>
      <c r="O13" s="170">
        <v>2770.6</v>
      </c>
    </row>
    <row r="14" spans="2:15" s="424" customFormat="1" ht="15" customHeight="1">
      <c r="B14" s="585"/>
      <c r="C14" s="687" t="s">
        <v>783</v>
      </c>
      <c r="D14" s="687"/>
      <c r="E14" s="587"/>
      <c r="F14" s="587">
        <f>SUM(F12:F13)</f>
        <v>4787.5</v>
      </c>
      <c r="G14" s="587">
        <f>SUM(G12)</f>
        <v>0</v>
      </c>
      <c r="H14" s="587"/>
      <c r="I14" s="587">
        <f>SUM(I12)</f>
        <v>0</v>
      </c>
      <c r="J14" s="587">
        <f>SUM(J12:J13)</f>
        <v>4787.5</v>
      </c>
      <c r="K14" s="139"/>
      <c r="L14" s="139"/>
      <c r="M14" s="602"/>
      <c r="O14" s="425"/>
    </row>
    <row r="15" spans="2:15" s="424" customFormat="1" ht="15" customHeight="1">
      <c r="B15" s="585"/>
      <c r="C15" s="139"/>
      <c r="D15" s="586"/>
      <c r="E15" s="586"/>
      <c r="F15" s="586"/>
      <c r="G15" s="586"/>
      <c r="H15" s="586"/>
      <c r="I15" s="586"/>
      <c r="J15" s="586"/>
      <c r="K15" s="139"/>
      <c r="L15" s="139"/>
      <c r="M15" s="602"/>
      <c r="O15" s="425"/>
    </row>
    <row r="16" spans="2:15" ht="15.75" thickBot="1">
      <c r="B16" s="176"/>
      <c r="C16" s="177" t="s">
        <v>50</v>
      </c>
      <c r="D16" s="15"/>
      <c r="E16" s="15">
        <f>SUM(E8:E12)</f>
        <v>0</v>
      </c>
      <c r="F16" s="15">
        <f>SUM(F10+F14)</f>
        <v>10747.5</v>
      </c>
      <c r="G16" s="15">
        <f>SUM(G8:G12)</f>
        <v>0</v>
      </c>
      <c r="H16" s="15">
        <f>SUM(H8:H12)</f>
        <v>0</v>
      </c>
      <c r="I16" s="15">
        <f>SUM(I8:I12)</f>
        <v>0</v>
      </c>
      <c r="J16" s="230">
        <f>SUM(J10+J14)</f>
        <v>10747.5</v>
      </c>
      <c r="K16" s="26"/>
      <c r="L16" s="26"/>
      <c r="N16" s="168"/>
      <c r="O16" s="170"/>
    </row>
    <row r="17" spans="2:19" ht="15.75" thickTop="1">
      <c r="J17" s="178" t="s">
        <v>51</v>
      </c>
      <c r="O17" s="170"/>
    </row>
    <row r="18" spans="2:19">
      <c r="O18" s="170"/>
      <c r="R18" s="173">
        <v>81333.070000000007</v>
      </c>
      <c r="S18" s="168" t="s">
        <v>231</v>
      </c>
    </row>
    <row r="19" spans="2:19">
      <c r="E19" s="182"/>
      <c r="F19" s="182"/>
      <c r="G19" s="182"/>
      <c r="H19" s="182"/>
      <c r="J19" s="182"/>
      <c r="K19" s="182"/>
      <c r="M19" s="601"/>
      <c r="O19" s="170"/>
      <c r="R19" s="173">
        <v>53056.03</v>
      </c>
      <c r="S19" s="168" t="s">
        <v>232</v>
      </c>
    </row>
    <row r="20" spans="2:19">
      <c r="B20" s="621" t="s">
        <v>778</v>
      </c>
      <c r="C20" s="621"/>
      <c r="E20" s="622" t="s">
        <v>45</v>
      </c>
      <c r="F20" s="622"/>
      <c r="G20" s="622"/>
      <c r="H20" s="622"/>
      <c r="J20" s="622" t="s">
        <v>626</v>
      </c>
      <c r="K20" s="622"/>
      <c r="L20" s="319"/>
      <c r="M20" s="603"/>
      <c r="O20" s="115"/>
      <c r="P20" s="115"/>
      <c r="R20" s="174"/>
    </row>
    <row r="21" spans="2:19">
      <c r="B21" s="622" t="s">
        <v>150</v>
      </c>
      <c r="C21" s="622"/>
      <c r="E21" s="622" t="s">
        <v>151</v>
      </c>
      <c r="F21" s="622"/>
      <c r="G21" s="622"/>
      <c r="H21" s="622"/>
      <c r="J21" s="622" t="s">
        <v>30</v>
      </c>
      <c r="K21" s="622"/>
      <c r="L21" s="319"/>
      <c r="M21" s="604"/>
      <c r="O21" s="6"/>
      <c r="P21" s="6"/>
    </row>
    <row r="22" spans="2:19">
      <c r="O22" s="170"/>
    </row>
    <row r="23" spans="2:19">
      <c r="J23" s="295">
        <f>F16+G16-H16</f>
        <v>10747.5</v>
      </c>
      <c r="O23" s="170"/>
      <c r="R23" s="173">
        <v>96237.05</v>
      </c>
      <c r="S23" s="168" t="s">
        <v>220</v>
      </c>
    </row>
    <row r="24" spans="2:19">
      <c r="J24" s="295">
        <f>J16-J23</f>
        <v>0</v>
      </c>
      <c r="O24" s="170"/>
    </row>
    <row r="25" spans="2:19">
      <c r="O25" s="170"/>
      <c r="R25" s="173">
        <v>103878.79</v>
      </c>
      <c r="S25" s="168" t="s">
        <v>229</v>
      </c>
    </row>
    <row r="26" spans="2:19">
      <c r="O26" s="170"/>
    </row>
    <row r="27" spans="2:19">
      <c r="O27" s="170"/>
      <c r="R27" s="173">
        <v>128320</v>
      </c>
      <c r="S27" s="168" t="s">
        <v>271</v>
      </c>
    </row>
    <row r="28" spans="2:19">
      <c r="O28" s="179"/>
      <c r="R28" s="180">
        <f>SUM(R16:R27)</f>
        <v>462824.94</v>
      </c>
      <c r="S28" s="168" t="s">
        <v>272</v>
      </c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  <row r="37" spans="15:15">
      <c r="O37" s="179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topLeftCell="A4" workbookViewId="0">
      <selection activeCell="C13" sqref="C13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613"/>
      <c r="D1" s="614"/>
      <c r="E1" s="614"/>
      <c r="F1" s="614"/>
      <c r="G1" s="614"/>
      <c r="H1" s="614"/>
      <c r="I1" s="29"/>
      <c r="J1" s="29"/>
      <c r="K1" s="29"/>
      <c r="L1" s="29"/>
    </row>
    <row r="2" spans="2:15" ht="19.5">
      <c r="B2" s="615" t="s">
        <v>218</v>
      </c>
      <c r="C2" s="616"/>
      <c r="D2" s="616"/>
      <c r="E2" s="616"/>
      <c r="F2" s="616"/>
      <c r="G2" s="616"/>
      <c r="H2" s="616"/>
      <c r="I2" s="616"/>
      <c r="J2" s="616"/>
      <c r="K2" s="616"/>
      <c r="L2" s="617"/>
    </row>
    <row r="3" spans="2:15">
      <c r="B3" s="618" t="s">
        <v>805</v>
      </c>
      <c r="C3" s="619"/>
      <c r="D3" s="619"/>
      <c r="E3" s="619"/>
      <c r="F3" s="619"/>
      <c r="G3" s="619"/>
      <c r="H3" s="619"/>
      <c r="I3" s="619"/>
      <c r="J3" s="619"/>
      <c r="K3" s="619"/>
      <c r="L3" s="620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233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371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275</v>
      </c>
      <c r="C8" s="3" t="s">
        <v>363</v>
      </c>
      <c r="D8" s="9">
        <f>7780/2</f>
        <v>3890</v>
      </c>
      <c r="E8" s="9" t="s">
        <v>236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276</v>
      </c>
      <c r="C9" s="3" t="s">
        <v>364</v>
      </c>
      <c r="D9" s="9">
        <f>7498/2</f>
        <v>3749</v>
      </c>
      <c r="E9" s="9" t="s">
        <v>245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277</v>
      </c>
      <c r="C10" s="323" t="s">
        <v>365</v>
      </c>
      <c r="D10" s="355">
        <v>4644.6400000000003</v>
      </c>
      <c r="E10" s="355" t="s">
        <v>245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278</v>
      </c>
      <c r="C11" s="3" t="s">
        <v>366</v>
      </c>
      <c r="D11" s="9">
        <f>5214/2</f>
        <v>2607</v>
      </c>
      <c r="E11" s="9" t="s">
        <v>253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279</v>
      </c>
      <c r="C12" s="3" t="s">
        <v>367</v>
      </c>
      <c r="D12" s="9">
        <f>7104/2</f>
        <v>3552</v>
      </c>
      <c r="E12" s="9" t="s">
        <v>253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280</v>
      </c>
      <c r="C13" s="3" t="s">
        <v>368</v>
      </c>
      <c r="D13" s="9">
        <f>10936/2</f>
        <v>5468</v>
      </c>
      <c r="E13" s="9" t="s">
        <v>369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281</v>
      </c>
      <c r="C14" s="3" t="s">
        <v>370</v>
      </c>
      <c r="D14" s="9">
        <f>5076/2</f>
        <v>2538</v>
      </c>
      <c r="E14" s="9" t="s">
        <v>253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231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232</v>
      </c>
    </row>
    <row r="19" spans="2:19">
      <c r="B19" s="621" t="s">
        <v>778</v>
      </c>
      <c r="C19" s="621"/>
      <c r="D19" s="181"/>
      <c r="F19" s="622" t="s">
        <v>45</v>
      </c>
      <c r="G19" s="622"/>
      <c r="H19" s="622"/>
      <c r="I19" s="622"/>
      <c r="K19" s="622" t="s">
        <v>626</v>
      </c>
      <c r="L19" s="622"/>
      <c r="M19" s="6"/>
      <c r="O19" s="115"/>
      <c r="P19" s="115"/>
      <c r="R19" s="174"/>
    </row>
    <row r="20" spans="2:19">
      <c r="B20" s="622" t="s">
        <v>150</v>
      </c>
      <c r="C20" s="622"/>
      <c r="D20" s="6"/>
      <c r="F20" s="622" t="s">
        <v>151</v>
      </c>
      <c r="G20" s="622"/>
      <c r="H20" s="622"/>
      <c r="I20" s="622"/>
      <c r="K20" s="622" t="s">
        <v>30</v>
      </c>
      <c r="L20" s="622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220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229</v>
      </c>
    </row>
    <row r="25" spans="2:19">
      <c r="O25" s="170"/>
    </row>
    <row r="26" spans="2:19">
      <c r="O26" s="170"/>
      <c r="R26" s="173">
        <v>128320</v>
      </c>
      <c r="S26" s="168" t="s">
        <v>271</v>
      </c>
    </row>
    <row r="27" spans="2:19">
      <c r="O27" s="179"/>
      <c r="R27" s="180">
        <f>SUM(R15:R26)</f>
        <v>462824.94</v>
      </c>
      <c r="S27" s="168" t="s">
        <v>272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zoomScale="91" zoomScaleNormal="91" workbookViewId="0">
      <selection activeCell="F11" sqref="F11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88" t="s">
        <v>590</v>
      </c>
      <c r="D2" s="688"/>
      <c r="E2" s="688"/>
      <c r="F2" s="688"/>
      <c r="G2" s="688"/>
      <c r="H2" s="688"/>
      <c r="I2" s="688"/>
      <c r="J2" s="688"/>
      <c r="K2" s="688"/>
      <c r="L2" s="688"/>
    </row>
    <row r="3" spans="2:14" ht="18.75">
      <c r="C3" s="688" t="s">
        <v>611</v>
      </c>
      <c r="D3" s="688"/>
      <c r="E3" s="688"/>
      <c r="F3" s="688"/>
      <c r="G3" s="688"/>
      <c r="H3" s="688"/>
      <c r="I3" s="688"/>
      <c r="J3" s="688"/>
      <c r="K3" s="688"/>
      <c r="L3" s="688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88" t="s">
        <v>807</v>
      </c>
      <c r="E5" s="688"/>
      <c r="F5" s="688"/>
      <c r="G5" s="688"/>
      <c r="H5" s="688"/>
      <c r="I5" s="688"/>
      <c r="J5" s="688"/>
      <c r="K5" s="256"/>
      <c r="L5" s="257"/>
    </row>
    <row r="7" spans="2:14">
      <c r="B7" s="417"/>
      <c r="C7" s="510" t="s">
        <v>288</v>
      </c>
      <c r="D7" s="510" t="s">
        <v>57</v>
      </c>
      <c r="E7" s="510" t="s">
        <v>488</v>
      </c>
      <c r="F7" s="510" t="s">
        <v>489</v>
      </c>
      <c r="G7" s="510"/>
      <c r="H7" s="511"/>
      <c r="I7" s="512" t="s">
        <v>290</v>
      </c>
      <c r="J7" s="512" t="s">
        <v>621</v>
      </c>
      <c r="K7" s="512" t="s">
        <v>562</v>
      </c>
      <c r="L7" s="510" t="s">
        <v>29</v>
      </c>
    </row>
    <row r="9" spans="2:14" ht="30" customHeight="1">
      <c r="B9" s="183">
        <v>1</v>
      </c>
      <c r="C9" s="183" t="s">
        <v>294</v>
      </c>
      <c r="D9" s="183" t="s">
        <v>490</v>
      </c>
      <c r="E9" s="183" t="s">
        <v>491</v>
      </c>
      <c r="F9" s="183" t="s">
        <v>492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295</v>
      </c>
      <c r="D10" s="183"/>
      <c r="E10" s="183" t="s">
        <v>493</v>
      </c>
      <c r="F10" s="183" t="s">
        <v>494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7" si="1">I10-J10</f>
        <v>2289</v>
      </c>
      <c r="L10" s="183"/>
    </row>
    <row r="11" spans="2:14" ht="30" customHeight="1">
      <c r="B11" s="183">
        <f t="shared" ref="B11:B58" si="2">B10+1</f>
        <v>3</v>
      </c>
      <c r="C11" s="183" t="s">
        <v>476</v>
      </c>
      <c r="D11" s="183" t="s">
        <v>563</v>
      </c>
      <c r="E11" s="183" t="s">
        <v>578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296</v>
      </c>
      <c r="D12" s="183" t="s">
        <v>495</v>
      </c>
      <c r="E12" s="183" t="s">
        <v>496</v>
      </c>
      <c r="F12" s="183" t="s">
        <v>497</v>
      </c>
      <c r="G12" s="183">
        <f t="shared" ref="G12:G44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696</v>
      </c>
      <c r="D13" s="183" t="s">
        <v>498</v>
      </c>
      <c r="E13" s="183" t="s">
        <v>499</v>
      </c>
      <c r="F13" s="183" t="s">
        <v>500</v>
      </c>
      <c r="G13" s="183">
        <f>G62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697</v>
      </c>
      <c r="N13" t="s">
        <v>720</v>
      </c>
    </row>
    <row r="14" spans="2:14" ht="30" customHeight="1">
      <c r="B14" s="183">
        <f t="shared" si="2"/>
        <v>6</v>
      </c>
      <c r="C14" s="183" t="s">
        <v>501</v>
      </c>
      <c r="D14" s="183"/>
      <c r="E14" s="183" t="s">
        <v>502</v>
      </c>
      <c r="F14" s="183" t="s">
        <v>497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1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297</v>
      </c>
      <c r="D15" s="183" t="s">
        <v>503</v>
      </c>
      <c r="E15" s="183" t="s">
        <v>504</v>
      </c>
      <c r="F15" s="183" t="s">
        <v>497</v>
      </c>
      <c r="G15" s="183">
        <f t="shared" si="3"/>
        <v>0</v>
      </c>
      <c r="H15" s="411">
        <v>3543</v>
      </c>
      <c r="I15" s="327">
        <v>3543</v>
      </c>
      <c r="J15" s="327"/>
      <c r="K15" s="258">
        <f>I15-J15</f>
        <v>3543</v>
      </c>
      <c r="L15" s="183"/>
    </row>
    <row r="16" spans="2:14" ht="30" customHeight="1">
      <c r="B16" s="183">
        <f t="shared" si="2"/>
        <v>8</v>
      </c>
      <c r="C16" s="183" t="s">
        <v>298</v>
      </c>
      <c r="D16" s="183" t="s">
        <v>505</v>
      </c>
      <c r="E16" s="183" t="s">
        <v>506</v>
      </c>
      <c r="F16" s="183" t="s">
        <v>507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790</v>
      </c>
      <c r="D17" s="183" t="s">
        <v>508</v>
      </c>
      <c r="E17" s="183" t="s">
        <v>509</v>
      </c>
      <c r="F17" s="183" t="s">
        <v>497</v>
      </c>
      <c r="G17" s="183">
        <f t="shared" si="3"/>
        <v>0</v>
      </c>
      <c r="H17" s="410">
        <f>3510/2</f>
        <v>1755</v>
      </c>
      <c r="I17" s="325">
        <v>1600</v>
      </c>
      <c r="J17" s="325"/>
      <c r="K17" s="258">
        <f t="shared" si="1"/>
        <v>1600</v>
      </c>
      <c r="L17" s="183"/>
      <c r="M17" t="s">
        <v>791</v>
      </c>
    </row>
    <row r="18" spans="2:14" ht="30" customHeight="1">
      <c r="B18" s="183">
        <f t="shared" si="2"/>
        <v>10</v>
      </c>
      <c r="C18" s="183" t="s">
        <v>299</v>
      </c>
      <c r="D18" s="183"/>
      <c r="E18" s="183" t="s">
        <v>510</v>
      </c>
      <c r="F18" s="183"/>
      <c r="G18" s="183">
        <f>G64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78"/>
    </row>
    <row r="19" spans="2:14" ht="30" customHeight="1">
      <c r="B19" s="183">
        <f t="shared" si="2"/>
        <v>11</v>
      </c>
      <c r="C19" s="183" t="s">
        <v>300</v>
      </c>
      <c r="D19" s="183" t="s">
        <v>511</v>
      </c>
      <c r="E19" s="183" t="s">
        <v>512</v>
      </c>
      <c r="F19" s="577" t="s">
        <v>710</v>
      </c>
      <c r="G19" s="183">
        <f t="shared" si="3"/>
        <v>0</v>
      </c>
      <c r="H19" s="411">
        <f>6128/2</f>
        <v>3064</v>
      </c>
      <c r="I19" s="327">
        <v>3064</v>
      </c>
      <c r="J19" s="327"/>
      <c r="K19" s="258">
        <f t="shared" si="1"/>
        <v>3064</v>
      </c>
      <c r="L19" s="183"/>
      <c r="M19" s="578"/>
    </row>
    <row r="20" spans="2:14" ht="30" customHeight="1">
      <c r="B20" s="183">
        <f t="shared" si="2"/>
        <v>12</v>
      </c>
      <c r="C20" s="183" t="s">
        <v>301</v>
      </c>
      <c r="D20" s="183"/>
      <c r="E20" s="183" t="s">
        <v>513</v>
      </c>
      <c r="F20" s="183" t="s">
        <v>497</v>
      </c>
      <c r="G20" s="183">
        <f t="shared" si="3"/>
        <v>0</v>
      </c>
      <c r="H20" s="410">
        <f>7330/2</f>
        <v>3665</v>
      </c>
      <c r="I20" s="325">
        <f t="shared" ref="I20:I44" si="4">H20</f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302</v>
      </c>
      <c r="D21" s="183" t="s">
        <v>514</v>
      </c>
      <c r="E21" s="183" t="s">
        <v>491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515</v>
      </c>
      <c r="D22" s="183" t="s">
        <v>516</v>
      </c>
      <c r="E22" s="183" t="s">
        <v>517</v>
      </c>
      <c r="F22" s="183" t="s">
        <v>497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303</v>
      </c>
      <c r="D23" s="183" t="s">
        <v>518</v>
      </c>
      <c r="E23" s="183" t="s">
        <v>519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304</v>
      </c>
      <c r="D24" s="183" t="s">
        <v>520</v>
      </c>
      <c r="E24" s="183" t="s">
        <v>521</v>
      </c>
      <c r="F24" s="183" t="s">
        <v>522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305</v>
      </c>
      <c r="D25" s="183" t="s">
        <v>523</v>
      </c>
      <c r="E25" s="183" t="s">
        <v>524</v>
      </c>
      <c r="F25" s="183" t="s">
        <v>497</v>
      </c>
      <c r="G25" s="183" t="e">
        <f>#REF!</f>
        <v>#REF!</v>
      </c>
      <c r="H25" s="410">
        <f>4992/2</f>
        <v>2496</v>
      </c>
      <c r="I25" s="325">
        <v>3090</v>
      </c>
      <c r="J25" s="327"/>
      <c r="K25" s="258">
        <f t="shared" si="1"/>
        <v>3090</v>
      </c>
      <c r="L25" s="183"/>
      <c r="M25" s="605"/>
    </row>
    <row r="26" spans="2:14" ht="30" customHeight="1">
      <c r="B26" s="183">
        <f t="shared" si="2"/>
        <v>18</v>
      </c>
      <c r="C26" s="183" t="s">
        <v>654</v>
      </c>
      <c r="D26" s="183" t="s">
        <v>525</v>
      </c>
      <c r="E26" s="183" t="s">
        <v>526</v>
      </c>
      <c r="F26" s="183" t="s">
        <v>497</v>
      </c>
      <c r="G26" s="183" t="e">
        <f t="shared" si="3"/>
        <v>#REF!</v>
      </c>
      <c r="H26" s="410">
        <f>5848/2</f>
        <v>2924</v>
      </c>
      <c r="I26" s="325">
        <v>3665</v>
      </c>
      <c r="J26" s="325"/>
      <c r="K26" s="258">
        <f t="shared" si="1"/>
        <v>3665</v>
      </c>
      <c r="L26" s="183"/>
    </row>
    <row r="27" spans="2:14" ht="30" customHeight="1">
      <c r="B27" s="183">
        <f t="shared" si="2"/>
        <v>19</v>
      </c>
      <c r="C27" s="183" t="s">
        <v>527</v>
      </c>
      <c r="D27" s="183" t="s">
        <v>528</v>
      </c>
      <c r="E27" s="183" t="s">
        <v>529</v>
      </c>
      <c r="F27" s="183" t="s">
        <v>497</v>
      </c>
      <c r="G27" s="183" t="e">
        <f t="shared" si="3"/>
        <v>#REF!</v>
      </c>
      <c r="H27" s="410">
        <f>7060/2</f>
        <v>3530</v>
      </c>
      <c r="I27" s="325">
        <f t="shared" si="4"/>
        <v>3530</v>
      </c>
      <c r="J27" s="325"/>
      <c r="K27" s="258">
        <f t="shared" si="1"/>
        <v>3530</v>
      </c>
      <c r="L27" s="183"/>
    </row>
    <row r="28" spans="2:14" ht="30" customHeight="1">
      <c r="B28" s="183">
        <f t="shared" si="2"/>
        <v>20</v>
      </c>
      <c r="C28" s="183" t="s">
        <v>306</v>
      </c>
      <c r="D28" s="183"/>
      <c r="E28" s="183" t="s">
        <v>530</v>
      </c>
      <c r="F28" s="183" t="s">
        <v>497</v>
      </c>
      <c r="G28" s="183" t="e">
        <f t="shared" si="3"/>
        <v>#REF!</v>
      </c>
      <c r="H28" s="410">
        <f>7414/2</f>
        <v>3707</v>
      </c>
      <c r="I28" s="325">
        <f t="shared" si="4"/>
        <v>3707</v>
      </c>
      <c r="J28" s="325"/>
      <c r="K28" s="258">
        <f t="shared" si="1"/>
        <v>3707</v>
      </c>
      <c r="L28" s="183"/>
    </row>
    <row r="29" spans="2:14" ht="30" customHeight="1">
      <c r="B29" s="183">
        <f t="shared" si="2"/>
        <v>21</v>
      </c>
      <c r="C29" s="183" t="s">
        <v>308</v>
      </c>
      <c r="D29" s="183" t="s">
        <v>531</v>
      </c>
      <c r="E29" s="183" t="s">
        <v>532</v>
      </c>
      <c r="F29" s="183"/>
      <c r="G29" s="183" t="e">
        <f t="shared" si="3"/>
        <v>#REF!</v>
      </c>
      <c r="H29" s="410">
        <f>3510/2</f>
        <v>1755</v>
      </c>
      <c r="I29" s="325">
        <f t="shared" si="4"/>
        <v>1755</v>
      </c>
      <c r="J29" s="325"/>
      <c r="K29" s="258">
        <f t="shared" si="1"/>
        <v>1755</v>
      </c>
      <c r="L29" s="183"/>
    </row>
    <row r="30" spans="2:14" ht="30" customHeight="1">
      <c r="B30" s="183">
        <f t="shared" si="2"/>
        <v>22</v>
      </c>
      <c r="C30" s="183" t="s">
        <v>309</v>
      </c>
      <c r="D30" s="183" t="s">
        <v>533</v>
      </c>
      <c r="E30" s="183" t="s">
        <v>534</v>
      </c>
      <c r="F30" s="183" t="s">
        <v>497</v>
      </c>
      <c r="G30" s="183" t="e">
        <f t="shared" si="3"/>
        <v>#REF!</v>
      </c>
      <c r="H30" s="410">
        <f>6438/2</f>
        <v>3219</v>
      </c>
      <c r="I30" s="325">
        <f t="shared" si="4"/>
        <v>3219</v>
      </c>
      <c r="J30" s="325"/>
      <c r="K30" s="258">
        <f t="shared" si="1"/>
        <v>3219</v>
      </c>
      <c r="L30" s="183"/>
    </row>
    <row r="31" spans="2:14" ht="30" customHeight="1">
      <c r="B31" s="183">
        <f t="shared" si="2"/>
        <v>23</v>
      </c>
      <c r="C31" s="183" t="s">
        <v>649</v>
      </c>
      <c r="D31" s="183"/>
      <c r="E31" s="183" t="s">
        <v>650</v>
      </c>
      <c r="F31" s="183"/>
      <c r="G31" s="183" t="e">
        <f t="shared" si="3"/>
        <v>#REF!</v>
      </c>
      <c r="H31" s="411">
        <f>7488/2</f>
        <v>3744</v>
      </c>
      <c r="I31" s="327">
        <f t="shared" si="4"/>
        <v>3744</v>
      </c>
      <c r="J31" s="327"/>
      <c r="K31" s="258">
        <f t="shared" si="1"/>
        <v>3744</v>
      </c>
      <c r="L31" s="183"/>
      <c r="M31" t="s">
        <v>653</v>
      </c>
      <c r="N31" t="s">
        <v>743</v>
      </c>
    </row>
    <row r="32" spans="2:14" ht="30" customHeight="1">
      <c r="B32" s="183">
        <f t="shared" si="2"/>
        <v>24</v>
      </c>
      <c r="C32" s="183" t="s">
        <v>681</v>
      </c>
      <c r="D32" s="183"/>
      <c r="E32" s="183" t="s">
        <v>682</v>
      </c>
      <c r="F32" s="183"/>
      <c r="G32" s="183" t="e">
        <f t="shared" si="3"/>
        <v>#REF!</v>
      </c>
      <c r="H32" s="411">
        <f>8320/2</f>
        <v>4160</v>
      </c>
      <c r="I32" s="327">
        <f t="shared" si="4"/>
        <v>4160</v>
      </c>
      <c r="J32" s="327"/>
      <c r="K32" s="258">
        <f>I32-J32</f>
        <v>4160</v>
      </c>
      <c r="L32" s="183"/>
      <c r="M32" t="s">
        <v>683</v>
      </c>
      <c r="N32" t="s">
        <v>744</v>
      </c>
    </row>
    <row r="33" spans="2:14" ht="30" customHeight="1">
      <c r="B33" s="183">
        <f t="shared" si="2"/>
        <v>25</v>
      </c>
      <c r="C33" s="183" t="s">
        <v>535</v>
      </c>
      <c r="D33" s="183" t="s">
        <v>536</v>
      </c>
      <c r="E33" s="183" t="s">
        <v>491</v>
      </c>
      <c r="F33" s="183"/>
      <c r="G33" s="183" t="e">
        <f>#REF!</f>
        <v>#REF!</v>
      </c>
      <c r="H33" s="410">
        <f>6240/2</f>
        <v>3120</v>
      </c>
      <c r="I33" s="325">
        <f t="shared" si="4"/>
        <v>3120</v>
      </c>
      <c r="J33" s="325"/>
      <c r="K33" s="258">
        <f t="shared" si="1"/>
        <v>3120</v>
      </c>
      <c r="L33" s="183"/>
    </row>
    <row r="34" spans="2:14" ht="30" customHeight="1">
      <c r="B34" s="183">
        <f t="shared" si="2"/>
        <v>26</v>
      </c>
      <c r="C34" s="183" t="s">
        <v>607</v>
      </c>
      <c r="D34" s="183"/>
      <c r="E34" s="183" t="s">
        <v>608</v>
      </c>
      <c r="F34" s="183"/>
      <c r="G34" s="183"/>
      <c r="H34" s="411">
        <f>7072/2</f>
        <v>3536</v>
      </c>
      <c r="I34" s="327">
        <f t="shared" si="4"/>
        <v>3536</v>
      </c>
      <c r="J34" s="327"/>
      <c r="K34" s="258">
        <f t="shared" si="1"/>
        <v>3536</v>
      </c>
      <c r="L34" s="183"/>
      <c r="M34" s="316" t="s">
        <v>616</v>
      </c>
      <c r="N34" t="s">
        <v>725</v>
      </c>
    </row>
    <row r="35" spans="2:14" ht="30" customHeight="1">
      <c r="B35" s="183">
        <f t="shared" si="2"/>
        <v>27</v>
      </c>
      <c r="C35" s="183" t="s">
        <v>537</v>
      </c>
      <c r="D35" s="183" t="s">
        <v>538</v>
      </c>
      <c r="E35" s="183" t="s">
        <v>539</v>
      </c>
      <c r="F35" s="183" t="s">
        <v>540</v>
      </c>
      <c r="G35" s="183" t="e">
        <f>G33</f>
        <v>#REF!</v>
      </c>
      <c r="H35" s="410">
        <f>3536/2</f>
        <v>1768</v>
      </c>
      <c r="I35" s="325">
        <f t="shared" si="4"/>
        <v>1768</v>
      </c>
      <c r="J35" s="325"/>
      <c r="K35" s="258">
        <f t="shared" si="1"/>
        <v>1768</v>
      </c>
      <c r="L35" s="183"/>
    </row>
    <row r="36" spans="2:14" ht="30" customHeight="1">
      <c r="B36" s="183">
        <f t="shared" si="2"/>
        <v>28</v>
      </c>
      <c r="C36" s="565" t="s">
        <v>310</v>
      </c>
      <c r="D36" s="565" t="s">
        <v>541</v>
      </c>
      <c r="E36" s="565" t="s">
        <v>81</v>
      </c>
      <c r="F36" s="565"/>
      <c r="G36" s="565" t="e">
        <f t="shared" si="3"/>
        <v>#REF!</v>
      </c>
      <c r="H36" s="566">
        <f>6746/2</f>
        <v>3373</v>
      </c>
      <c r="I36" s="567">
        <v>0</v>
      </c>
      <c r="J36" s="567"/>
      <c r="K36" s="568">
        <f t="shared" si="1"/>
        <v>0</v>
      </c>
      <c r="L36" s="565"/>
      <c r="M36" s="574" t="s">
        <v>769</v>
      </c>
      <c r="N36" s="574"/>
    </row>
    <row r="37" spans="2:14" ht="30" customHeight="1">
      <c r="B37" s="183">
        <f t="shared" si="2"/>
        <v>29</v>
      </c>
      <c r="C37" s="183" t="s">
        <v>311</v>
      </c>
      <c r="D37" s="183"/>
      <c r="E37" s="183" t="s">
        <v>510</v>
      </c>
      <c r="F37" s="183"/>
      <c r="G37" s="183" t="e">
        <f>G65</f>
        <v>#REF!</v>
      </c>
      <c r="H37" s="410">
        <f>6864/2</f>
        <v>3432</v>
      </c>
      <c r="I37" s="325">
        <f>H37</f>
        <v>3432</v>
      </c>
      <c r="J37" s="327"/>
      <c r="K37" s="258">
        <f t="shared" si="1"/>
        <v>3432</v>
      </c>
      <c r="L37" s="183"/>
    </row>
    <row r="38" spans="2:14" ht="30" customHeight="1">
      <c r="B38" s="183">
        <f t="shared" si="2"/>
        <v>30</v>
      </c>
      <c r="C38" s="183" t="s">
        <v>313</v>
      </c>
      <c r="D38" s="183"/>
      <c r="E38" s="183" t="s">
        <v>491</v>
      </c>
      <c r="F38" s="183"/>
      <c r="G38" s="183" t="e">
        <f>#REF!</f>
        <v>#REF!</v>
      </c>
      <c r="H38" s="410">
        <f>6240/2</f>
        <v>3120</v>
      </c>
      <c r="I38" s="325">
        <f t="shared" si="4"/>
        <v>3120</v>
      </c>
      <c r="J38" s="327"/>
      <c r="K38" s="258">
        <f t="shared" si="1"/>
        <v>3120</v>
      </c>
      <c r="L38" s="183"/>
    </row>
    <row r="39" spans="2:14" ht="30" customHeight="1">
      <c r="B39" s="183">
        <f t="shared" si="2"/>
        <v>31</v>
      </c>
      <c r="C39" s="183" t="s">
        <v>312</v>
      </c>
      <c r="D39" s="183" t="s">
        <v>542</v>
      </c>
      <c r="E39" s="307" t="s">
        <v>543</v>
      </c>
      <c r="F39" s="183" t="s">
        <v>507</v>
      </c>
      <c r="G39" s="183" t="e">
        <f t="shared" si="3"/>
        <v>#REF!</v>
      </c>
      <c r="H39" s="410">
        <f>5824/2</f>
        <v>2912</v>
      </c>
      <c r="I39" s="325">
        <v>3300</v>
      </c>
      <c r="J39" s="325"/>
      <c r="K39" s="258">
        <f t="shared" si="1"/>
        <v>3300</v>
      </c>
      <c r="L39" s="183"/>
    </row>
    <row r="40" spans="2:14" ht="30" customHeight="1">
      <c r="B40" s="183">
        <f t="shared" si="2"/>
        <v>32</v>
      </c>
      <c r="C40" s="183" t="s">
        <v>544</v>
      </c>
      <c r="D40" s="183" t="s">
        <v>545</v>
      </c>
      <c r="E40" s="183" t="s">
        <v>543</v>
      </c>
      <c r="F40" s="183" t="s">
        <v>522</v>
      </c>
      <c r="G40" s="183" t="e">
        <f t="shared" si="3"/>
        <v>#REF!</v>
      </c>
      <c r="H40" s="410">
        <f>4784/2</f>
        <v>2392</v>
      </c>
      <c r="I40" s="325">
        <f t="shared" si="4"/>
        <v>2392</v>
      </c>
      <c r="J40" s="325"/>
      <c r="K40" s="258">
        <f t="shared" si="1"/>
        <v>2392</v>
      </c>
      <c r="L40" s="183"/>
    </row>
    <row r="41" spans="2:14" ht="30" customHeight="1">
      <c r="B41" s="183">
        <f t="shared" si="2"/>
        <v>33</v>
      </c>
      <c r="C41" s="307" t="s">
        <v>546</v>
      </c>
      <c r="D41" s="307"/>
      <c r="E41" s="307" t="s">
        <v>547</v>
      </c>
      <c r="F41" s="307" t="s">
        <v>494</v>
      </c>
      <c r="G41" s="307" t="e">
        <f t="shared" si="3"/>
        <v>#REF!</v>
      </c>
      <c r="H41" s="569">
        <f>6256/2</f>
        <v>3128</v>
      </c>
      <c r="I41" s="570">
        <f t="shared" si="4"/>
        <v>3128</v>
      </c>
      <c r="J41" s="570"/>
      <c r="K41" s="571">
        <f t="shared" si="1"/>
        <v>3128</v>
      </c>
      <c r="L41" s="307"/>
    </row>
    <row r="42" spans="2:14" ht="30" customHeight="1">
      <c r="B42" s="183">
        <f t="shared" si="2"/>
        <v>34</v>
      </c>
      <c r="C42" s="307" t="s">
        <v>760</v>
      </c>
      <c r="D42" s="307"/>
      <c r="E42" s="307" t="s">
        <v>539</v>
      </c>
      <c r="F42" s="307" t="s">
        <v>548</v>
      </c>
      <c r="G42" s="307" t="e">
        <f t="shared" si="3"/>
        <v>#REF!</v>
      </c>
      <c r="H42" s="569">
        <f>3068/2</f>
        <v>1534</v>
      </c>
      <c r="I42" s="570">
        <v>1534</v>
      </c>
      <c r="J42" s="570"/>
      <c r="K42" s="571">
        <f t="shared" si="1"/>
        <v>1534</v>
      </c>
      <c r="L42" s="307"/>
      <c r="M42" t="s">
        <v>761</v>
      </c>
    </row>
    <row r="43" spans="2:14" ht="30" customHeight="1">
      <c r="B43" s="183">
        <f t="shared" si="2"/>
        <v>35</v>
      </c>
      <c r="C43" s="183" t="s">
        <v>574</v>
      </c>
      <c r="D43" s="183"/>
      <c r="E43" s="183" t="s">
        <v>575</v>
      </c>
      <c r="F43" s="183" t="s">
        <v>497</v>
      </c>
      <c r="G43" s="183"/>
      <c r="H43" s="410">
        <f>6240/2</f>
        <v>3120</v>
      </c>
      <c r="I43" s="325">
        <f t="shared" si="4"/>
        <v>3120</v>
      </c>
      <c r="J43" s="325"/>
      <c r="K43" s="258">
        <f t="shared" si="1"/>
        <v>3120</v>
      </c>
      <c r="L43" s="183"/>
    </row>
    <row r="44" spans="2:14" ht="30" customHeight="1">
      <c r="B44" s="183">
        <f t="shared" si="2"/>
        <v>36</v>
      </c>
      <c r="C44" s="183" t="s">
        <v>477</v>
      </c>
      <c r="D44" s="183"/>
      <c r="E44" s="307" t="s">
        <v>549</v>
      </c>
      <c r="F44" s="183" t="s">
        <v>550</v>
      </c>
      <c r="G44" s="183">
        <f t="shared" si="3"/>
        <v>0</v>
      </c>
      <c r="H44" s="410">
        <f>3858/2</f>
        <v>1929</v>
      </c>
      <c r="I44" s="325">
        <f t="shared" si="4"/>
        <v>1929</v>
      </c>
      <c r="J44" s="325"/>
      <c r="K44" s="258">
        <f t="shared" si="1"/>
        <v>1929</v>
      </c>
      <c r="L44" s="183"/>
    </row>
    <row r="45" spans="2:14" ht="30" customHeight="1">
      <c r="B45" s="183">
        <f t="shared" si="2"/>
        <v>37</v>
      </c>
      <c r="C45" s="183" t="s">
        <v>686</v>
      </c>
      <c r="D45" s="183"/>
      <c r="E45" s="183" t="s">
        <v>619</v>
      </c>
      <c r="F45" s="183" t="s">
        <v>618</v>
      </c>
      <c r="G45" s="183"/>
      <c r="H45" s="411"/>
      <c r="I45" s="327">
        <v>3300</v>
      </c>
      <c r="J45" s="327"/>
      <c r="K45" s="258">
        <f t="shared" si="1"/>
        <v>3300</v>
      </c>
      <c r="L45" s="183"/>
      <c r="M45" t="s">
        <v>687</v>
      </c>
      <c r="N45" t="s">
        <v>720</v>
      </c>
    </row>
    <row r="46" spans="2:14" ht="30" customHeight="1">
      <c r="B46" s="183">
        <f t="shared" si="2"/>
        <v>38</v>
      </c>
      <c r="C46" s="183" t="s">
        <v>664</v>
      </c>
      <c r="D46" s="183"/>
      <c r="E46" s="183" t="s">
        <v>665</v>
      </c>
      <c r="F46" s="183"/>
      <c r="G46" s="183"/>
      <c r="H46" s="411"/>
      <c r="I46" s="327">
        <v>6397</v>
      </c>
      <c r="J46" s="327"/>
      <c r="K46" s="258">
        <f t="shared" si="1"/>
        <v>6397</v>
      </c>
      <c r="L46" s="183"/>
      <c r="M46" t="s">
        <v>666</v>
      </c>
      <c r="N46" t="s">
        <v>721</v>
      </c>
    </row>
    <row r="47" spans="2:14" ht="30" customHeight="1">
      <c r="B47" s="183">
        <f t="shared" si="2"/>
        <v>39</v>
      </c>
      <c r="C47" s="183" t="s">
        <v>633</v>
      </c>
      <c r="D47" s="183"/>
      <c r="E47" s="183" t="s">
        <v>634</v>
      </c>
      <c r="F47" s="183"/>
      <c r="G47" s="183"/>
      <c r="H47" s="410">
        <f>7904/2</f>
        <v>3952</v>
      </c>
      <c r="I47" s="325">
        <f t="shared" ref="I47:I50" si="5">H47</f>
        <v>3952</v>
      </c>
      <c r="J47" s="327"/>
      <c r="K47" s="258">
        <f t="shared" si="1"/>
        <v>3952</v>
      </c>
      <c r="L47" s="183"/>
      <c r="M47" t="s">
        <v>742</v>
      </c>
    </row>
    <row r="48" spans="2:14" ht="30" customHeight="1">
      <c r="B48" s="183">
        <f t="shared" si="2"/>
        <v>40</v>
      </c>
      <c r="C48" s="183" t="s">
        <v>655</v>
      </c>
      <c r="D48" s="183"/>
      <c r="E48" s="183" t="s">
        <v>656</v>
      </c>
      <c r="F48" s="183"/>
      <c r="G48" s="183"/>
      <c r="H48" s="410">
        <f>8320/2</f>
        <v>4160</v>
      </c>
      <c r="I48" s="327">
        <f t="shared" si="5"/>
        <v>4160</v>
      </c>
      <c r="J48" s="325"/>
      <c r="K48" s="258">
        <f t="shared" ref="K48:K59" si="6">I48-J48</f>
        <v>4160</v>
      </c>
      <c r="L48" s="183"/>
    </row>
    <row r="49" spans="2:14" ht="30" customHeight="1">
      <c r="B49" s="183">
        <f t="shared" si="2"/>
        <v>41</v>
      </c>
      <c r="C49" s="183" t="s">
        <v>676</v>
      </c>
      <c r="D49" s="183"/>
      <c r="E49" s="183" t="s">
        <v>675</v>
      </c>
      <c r="F49" s="183"/>
      <c r="G49" s="183"/>
      <c r="H49" s="411">
        <f>7488/2</f>
        <v>3744</v>
      </c>
      <c r="I49" s="327">
        <f t="shared" si="5"/>
        <v>3744</v>
      </c>
      <c r="J49" s="327"/>
      <c r="K49" s="258">
        <f t="shared" si="6"/>
        <v>3744</v>
      </c>
      <c r="L49" s="183"/>
      <c r="M49" t="s">
        <v>674</v>
      </c>
      <c r="N49" t="s">
        <v>722</v>
      </c>
    </row>
    <row r="50" spans="2:14" ht="30" customHeight="1">
      <c r="B50" s="183">
        <f t="shared" si="2"/>
        <v>42</v>
      </c>
      <c r="C50" s="183" t="s">
        <v>670</v>
      </c>
      <c r="D50" s="183"/>
      <c r="E50" s="183" t="s">
        <v>260</v>
      </c>
      <c r="F50" s="183" t="s">
        <v>677</v>
      </c>
      <c r="G50" s="183"/>
      <c r="H50" s="411">
        <f>6138/2</f>
        <v>3069</v>
      </c>
      <c r="I50" s="327">
        <f t="shared" si="5"/>
        <v>3069</v>
      </c>
      <c r="J50" s="327"/>
      <c r="K50" s="258">
        <f t="shared" si="6"/>
        <v>3069</v>
      </c>
      <c r="L50" s="183"/>
      <c r="M50" t="s">
        <v>678</v>
      </c>
      <c r="N50" t="s">
        <v>723</v>
      </c>
    </row>
    <row r="51" spans="2:14" ht="30" customHeight="1">
      <c r="B51" s="183">
        <f t="shared" si="2"/>
        <v>43</v>
      </c>
      <c r="C51" s="183" t="s">
        <v>671</v>
      </c>
      <c r="D51" s="183"/>
      <c r="E51" s="183" t="s">
        <v>672</v>
      </c>
      <c r="F51" s="183"/>
      <c r="G51" s="183"/>
      <c r="H51" s="411">
        <f>5880/2</f>
        <v>2940</v>
      </c>
      <c r="I51" s="327">
        <v>3426</v>
      </c>
      <c r="J51" s="327"/>
      <c r="K51" s="258">
        <f t="shared" si="6"/>
        <v>3426</v>
      </c>
      <c r="L51" s="183"/>
      <c r="M51" t="s">
        <v>673</v>
      </c>
      <c r="N51" t="s">
        <v>724</v>
      </c>
    </row>
    <row r="52" spans="2:14" ht="30" customHeight="1">
      <c r="B52" s="183">
        <f t="shared" si="2"/>
        <v>44</v>
      </c>
      <c r="C52" s="183" t="s">
        <v>701</v>
      </c>
      <c r="D52" s="183"/>
      <c r="E52" s="183" t="s">
        <v>665</v>
      </c>
      <c r="F52" s="183"/>
      <c r="G52" s="183"/>
      <c r="H52" s="411"/>
      <c r="I52" s="327">
        <v>6370</v>
      </c>
      <c r="J52" s="327"/>
      <c r="K52" s="258">
        <f t="shared" si="6"/>
        <v>6370</v>
      </c>
      <c r="L52" s="183"/>
      <c r="M52" t="s">
        <v>747</v>
      </c>
    </row>
    <row r="53" spans="2:14" ht="30" customHeight="1">
      <c r="B53" s="183">
        <f t="shared" si="2"/>
        <v>45</v>
      </c>
      <c r="C53" s="183" t="s">
        <v>716</v>
      </c>
      <c r="D53" s="183"/>
      <c r="E53" s="183" t="s">
        <v>253</v>
      </c>
      <c r="F53" s="183"/>
      <c r="G53" s="183"/>
      <c r="H53" s="411"/>
      <c r="I53" s="327">
        <v>3600</v>
      </c>
      <c r="J53" s="327"/>
      <c r="K53" s="258">
        <f t="shared" si="6"/>
        <v>3600</v>
      </c>
      <c r="L53" s="183"/>
      <c r="M53" s="339" t="s">
        <v>746</v>
      </c>
    </row>
    <row r="54" spans="2:14" ht="30" customHeight="1">
      <c r="B54" s="183">
        <f t="shared" si="2"/>
        <v>46</v>
      </c>
      <c r="C54" s="183" t="s">
        <v>729</v>
      </c>
      <c r="D54" s="183"/>
      <c r="E54" s="183" t="s">
        <v>731</v>
      </c>
      <c r="F54" s="183"/>
      <c r="G54" s="183"/>
      <c r="H54" s="411"/>
      <c r="I54" s="327">
        <v>7500</v>
      </c>
      <c r="J54" s="327"/>
      <c r="K54" s="258">
        <f t="shared" si="6"/>
        <v>7500</v>
      </c>
      <c r="L54" s="183"/>
      <c r="M54" t="s">
        <v>734</v>
      </c>
    </row>
    <row r="55" spans="2:14" ht="30" customHeight="1">
      <c r="B55" s="183">
        <f t="shared" si="2"/>
        <v>47</v>
      </c>
      <c r="C55" s="183" t="s">
        <v>730</v>
      </c>
      <c r="D55" s="183"/>
      <c r="E55" s="183" t="s">
        <v>732</v>
      </c>
      <c r="F55" s="183"/>
      <c r="G55" s="183"/>
      <c r="H55" s="411"/>
      <c r="I55" s="327">
        <v>7500</v>
      </c>
      <c r="J55" s="327"/>
      <c r="K55" s="258">
        <f t="shared" si="6"/>
        <v>7500</v>
      </c>
      <c r="L55" s="183"/>
      <c r="M55" t="s">
        <v>702</v>
      </c>
    </row>
    <row r="56" spans="2:14" ht="30" customHeight="1">
      <c r="B56" s="183">
        <f t="shared" si="2"/>
        <v>48</v>
      </c>
      <c r="C56" s="183" t="s">
        <v>739</v>
      </c>
      <c r="D56" s="183"/>
      <c r="E56" s="183" t="s">
        <v>740</v>
      </c>
      <c r="F56" s="183"/>
      <c r="G56" s="183"/>
      <c r="H56" s="411"/>
      <c r="I56" s="327">
        <v>3400</v>
      </c>
      <c r="J56" s="327"/>
      <c r="K56" s="258">
        <f t="shared" si="6"/>
        <v>3400</v>
      </c>
      <c r="L56" s="183"/>
      <c r="M56" t="s">
        <v>745</v>
      </c>
    </row>
    <row r="57" spans="2:14" ht="30" customHeight="1">
      <c r="B57" s="183">
        <f t="shared" si="2"/>
        <v>49</v>
      </c>
      <c r="C57" s="183" t="s">
        <v>756</v>
      </c>
      <c r="D57" s="183"/>
      <c r="E57" s="183" t="s">
        <v>752</v>
      </c>
      <c r="F57" s="183"/>
      <c r="G57" s="183"/>
      <c r="H57" s="411"/>
      <c r="I57" s="327">
        <v>2000</v>
      </c>
      <c r="J57" s="327"/>
      <c r="K57" s="258">
        <f t="shared" si="6"/>
        <v>2000</v>
      </c>
      <c r="L57" s="183"/>
      <c r="M57" t="s">
        <v>753</v>
      </c>
      <c r="N57" t="s">
        <v>754</v>
      </c>
    </row>
    <row r="58" spans="2:14" ht="30" customHeight="1">
      <c r="B58" s="183">
        <f t="shared" si="2"/>
        <v>50</v>
      </c>
      <c r="C58" s="183" t="s">
        <v>759</v>
      </c>
      <c r="D58" s="183"/>
      <c r="E58" s="183" t="s">
        <v>763</v>
      </c>
      <c r="F58" s="183"/>
      <c r="G58" s="183"/>
      <c r="H58" s="411"/>
      <c r="I58" s="327">
        <v>2000</v>
      </c>
      <c r="J58" s="327"/>
      <c r="K58" s="258">
        <f t="shared" si="6"/>
        <v>2000</v>
      </c>
      <c r="L58" s="183"/>
      <c r="M58" t="s">
        <v>762</v>
      </c>
    </row>
    <row r="59" spans="2:14" ht="30" customHeight="1">
      <c r="B59" s="183">
        <v>51</v>
      </c>
      <c r="C59" s="183" t="s">
        <v>795</v>
      </c>
      <c r="D59" s="183"/>
      <c r="E59" s="183" t="s">
        <v>794</v>
      </c>
      <c r="F59" s="183"/>
      <c r="G59" s="183"/>
      <c r="H59" s="411"/>
      <c r="I59" s="327">
        <v>3000</v>
      </c>
      <c r="J59" s="327"/>
      <c r="K59" s="258">
        <f t="shared" si="6"/>
        <v>3000</v>
      </c>
      <c r="L59" s="183"/>
    </row>
    <row r="60" spans="2:14" ht="30" customHeight="1">
      <c r="F60" s="259" t="s">
        <v>58</v>
      </c>
      <c r="G60" s="269" t="s">
        <v>58</v>
      </c>
      <c r="H60" s="412"/>
      <c r="I60" s="328">
        <f>SUM(I9:I59)</f>
        <v>166958</v>
      </c>
      <c r="J60" s="328">
        <f>SUM(J9:J59)</f>
        <v>500</v>
      </c>
      <c r="K60" s="270">
        <f>SUM(K9:K59)</f>
        <v>166458</v>
      </c>
    </row>
    <row r="61" spans="2:14" ht="17.25" customHeight="1">
      <c r="H61" s="413"/>
      <c r="I61" s="329"/>
      <c r="J61" s="329"/>
      <c r="K61" s="262"/>
    </row>
    <row r="62" spans="2:14" ht="30" customHeight="1">
      <c r="B62" s="183">
        <v>1</v>
      </c>
      <c r="C62" s="183" t="s">
        <v>551</v>
      </c>
      <c r="D62" s="183"/>
      <c r="E62" s="183" t="s">
        <v>552</v>
      </c>
      <c r="F62" s="183" t="s">
        <v>553</v>
      </c>
      <c r="G62" s="183">
        <f>G12</f>
        <v>0</v>
      </c>
      <c r="H62" s="410">
        <f>2206/2</f>
        <v>1103</v>
      </c>
      <c r="I62" s="325">
        <f>H62</f>
        <v>1103</v>
      </c>
      <c r="J62" s="325"/>
      <c r="K62" s="258">
        <f>I62-J62</f>
        <v>1103</v>
      </c>
      <c r="L62" s="183"/>
    </row>
    <row r="63" spans="2:14" ht="30" customHeight="1">
      <c r="B63" s="183">
        <v>2</v>
      </c>
      <c r="C63" s="183" t="s">
        <v>623</v>
      </c>
      <c r="D63" s="183" t="s">
        <v>554</v>
      </c>
      <c r="E63" s="183" t="s">
        <v>555</v>
      </c>
      <c r="F63" s="183" t="s">
        <v>497</v>
      </c>
      <c r="G63" s="183">
        <f>G17</f>
        <v>0</v>
      </c>
      <c r="H63" s="410">
        <f>2310/2</f>
        <v>1155</v>
      </c>
      <c r="I63" s="325">
        <f>H63</f>
        <v>1155</v>
      </c>
      <c r="J63" s="325"/>
      <c r="K63" s="258">
        <f t="shared" ref="K63:K66" si="7">I63-J63</f>
        <v>1155</v>
      </c>
      <c r="L63" s="183"/>
    </row>
    <row r="64" spans="2:14" ht="30" customHeight="1">
      <c r="B64" s="183">
        <v>3</v>
      </c>
      <c r="C64" s="183" t="s">
        <v>680</v>
      </c>
      <c r="D64" s="183" t="s">
        <v>556</v>
      </c>
      <c r="E64" s="183" t="s">
        <v>555</v>
      </c>
      <c r="F64" s="183" t="s">
        <v>497</v>
      </c>
      <c r="G64" s="183">
        <f>G63</f>
        <v>0</v>
      </c>
      <c r="H64" s="410">
        <f>2310/2</f>
        <v>1155</v>
      </c>
      <c r="I64" s="325">
        <f>H64</f>
        <v>1155</v>
      </c>
      <c r="J64" s="325"/>
      <c r="K64" s="258">
        <f t="shared" si="7"/>
        <v>1155</v>
      </c>
      <c r="L64" s="183"/>
      <c r="M64" t="s">
        <v>679</v>
      </c>
      <c r="N64" t="s">
        <v>726</v>
      </c>
    </row>
    <row r="65" spans="2:12" ht="30" customHeight="1">
      <c r="B65" s="183">
        <v>4</v>
      </c>
      <c r="C65" s="183" t="s">
        <v>557</v>
      </c>
      <c r="D65" s="183" t="s">
        <v>558</v>
      </c>
      <c r="E65" s="183" t="s">
        <v>559</v>
      </c>
      <c r="F65" s="183"/>
      <c r="G65" s="183" t="e">
        <f>#REF!</f>
        <v>#REF!</v>
      </c>
      <c r="H65" s="410">
        <f>2100/2</f>
        <v>1050</v>
      </c>
      <c r="I65" s="325">
        <f>H65</f>
        <v>1050</v>
      </c>
      <c r="J65" s="325"/>
      <c r="K65" s="258">
        <f t="shared" si="7"/>
        <v>1050</v>
      </c>
      <c r="L65" s="183"/>
    </row>
    <row r="66" spans="2:12" ht="30" customHeight="1">
      <c r="B66" s="183">
        <v>5</v>
      </c>
      <c r="C66" s="183" t="s">
        <v>478</v>
      </c>
      <c r="D66" s="183" t="s">
        <v>560</v>
      </c>
      <c r="E66" s="183" t="s">
        <v>561</v>
      </c>
      <c r="F66" s="183" t="s">
        <v>548</v>
      </c>
      <c r="G66" s="183" t="e">
        <f>#REF!</f>
        <v>#REF!</v>
      </c>
      <c r="H66" s="410">
        <f>2142/2</f>
        <v>1071</v>
      </c>
      <c r="I66" s="325">
        <f>H66</f>
        <v>1071</v>
      </c>
      <c r="J66" s="325"/>
      <c r="K66" s="258">
        <f t="shared" si="7"/>
        <v>1071</v>
      </c>
      <c r="L66" s="183"/>
    </row>
    <row r="67" spans="2:12" ht="30" customHeight="1">
      <c r="F67" s="263" t="s">
        <v>562</v>
      </c>
      <c r="G67" s="260" t="s">
        <v>58</v>
      </c>
      <c r="H67" s="414"/>
      <c r="I67" s="330">
        <f>SUM(I62:I66)</f>
        <v>5534</v>
      </c>
      <c r="J67" s="330">
        <f>SUM(J62:J66)</f>
        <v>0</v>
      </c>
      <c r="K67" s="261">
        <f>SUM(K62:K66)</f>
        <v>5534</v>
      </c>
    </row>
    <row r="68" spans="2:12" ht="13.5" customHeight="1" thickBot="1">
      <c r="B68" s="248"/>
      <c r="C68" s="248"/>
      <c r="D68" s="248"/>
      <c r="E68" s="248"/>
      <c r="F68" s="264"/>
      <c r="G68" s="264"/>
      <c r="H68" s="415"/>
      <c r="I68" s="331"/>
      <c r="J68" s="331"/>
      <c r="K68" s="265"/>
      <c r="L68" s="248"/>
    </row>
    <row r="69" spans="2:12" ht="25.5" customHeight="1" thickTop="1">
      <c r="F69" s="266" t="s">
        <v>58</v>
      </c>
      <c r="G69" s="267" t="s">
        <v>58</v>
      </c>
      <c r="H69" s="416"/>
      <c r="I69" s="336">
        <f>I60+I67</f>
        <v>172492</v>
      </c>
      <c r="J69" s="268">
        <f>SUM(J60+J67)</f>
        <v>500</v>
      </c>
      <c r="K69" s="268">
        <f>SUM(K60+K67)</f>
        <v>171992</v>
      </c>
    </row>
    <row r="70" spans="2:12">
      <c r="H70" s="413"/>
      <c r="I70" s="329"/>
      <c r="J70" s="329"/>
      <c r="K70" s="262"/>
    </row>
    <row r="71" spans="2:12">
      <c r="H71" s="413"/>
      <c r="I71" s="329"/>
      <c r="J71" s="329"/>
      <c r="K71" s="262"/>
    </row>
    <row r="72" spans="2:12">
      <c r="H72" s="413"/>
      <c r="I72" s="329"/>
      <c r="J72" s="329"/>
      <c r="K72" s="262"/>
    </row>
    <row r="73" spans="2:12">
      <c r="H73" s="413"/>
      <c r="I73" s="329"/>
      <c r="J73" s="329"/>
      <c r="K73" s="262"/>
    </row>
    <row r="74" spans="2:12">
      <c r="C74" s="226"/>
      <c r="H74" s="413"/>
      <c r="I74" s="329"/>
      <c r="J74" s="329"/>
      <c r="K74" s="262"/>
    </row>
    <row r="75" spans="2:12">
      <c r="H75" s="413"/>
      <c r="I75" s="329"/>
      <c r="J75" s="329"/>
      <c r="K75" s="262"/>
    </row>
    <row r="76" spans="2:12">
      <c r="H76" s="413"/>
      <c r="I76" s="329"/>
      <c r="J76" s="329"/>
      <c r="K76" s="262"/>
    </row>
    <row r="80" spans="2:12">
      <c r="K80" s="253">
        <f>I69-J69</f>
        <v>171992</v>
      </c>
    </row>
    <row r="81" spans="11:11">
      <c r="K81" s="253">
        <f>K69-K80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2020-11-27T16:55:52Z</cp:lastPrinted>
  <dcterms:created xsi:type="dcterms:W3CDTF">2018-09-24T18:29:12Z</dcterms:created>
  <dcterms:modified xsi:type="dcterms:W3CDTF">2023-08-09T19:51:51Z</dcterms:modified>
</cp:coreProperties>
</file>