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Marzo 2020\"/>
    </mc:Choice>
  </mc:AlternateContent>
  <xr:revisionPtr revIDLastSave="0" documentId="13_ncr:1_{9F3A1274-BB8D-4494-BEA5-9A6A0B5749B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ORD. DE PAGO QUINCENAL" sheetId="14" r:id="rId7"/>
    <sheet name="PAGO TRAB.MENSUALES" sheetId="8" state="hidden" r:id="rId8"/>
    <sheet name="NOMINA PENSIONADOS" sheetId="11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6">'NOMINA ORD. DE PAGO QUINCENAL'!$B$2:$L$65</definedName>
    <definedName name="_xlnm.Print_Area" localSheetId="8">'NOMINA PENSIONADOS'!$B$2:$L$21</definedName>
    <definedName name="_xlnm.Print_Area" localSheetId="4">'NOMINA TRAB.EVENTUALES'!$A$1:$S$40</definedName>
    <definedName name="_xlnm.Print_Area" localSheetId="7">'PAGO TRAB.MENSUALES'!$C$2:$K$33</definedName>
    <definedName name="_xlnm.Print_Area" localSheetId="3">'P-CIVIL'!$A$2:$Q$34</definedName>
    <definedName name="_xlnm.Print_Area" localSheetId="0">REGIDORES!$B$2:$M$24</definedName>
    <definedName name="_xlnm.Print_Area" localSheetId="2">'SEGU-PBCA'!$B$2:$Q$45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4" i="6" l="1"/>
  <c r="P28" i="6" l="1"/>
  <c r="K54" i="14" l="1"/>
  <c r="N28" i="4" l="1"/>
  <c r="O27" i="4" l="1"/>
  <c r="P27" i="4" s="1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M16" i="3" l="1"/>
  <c r="J15" i="3"/>
  <c r="H53" i="14"/>
  <c r="J30" i="8"/>
  <c r="J27" i="8"/>
  <c r="J17" i="8"/>
  <c r="J32" i="8" s="1"/>
  <c r="G10" i="11"/>
  <c r="J22" i="3"/>
  <c r="E154" i="2"/>
  <c r="E122" i="2"/>
  <c r="K10" i="11" l="1"/>
  <c r="E45" i="2"/>
  <c r="O26" i="6" l="1"/>
  <c r="G26" i="6"/>
  <c r="I26" i="6" s="1"/>
  <c r="K26" i="6" s="1"/>
  <c r="P26" i="6" s="1"/>
  <c r="H62" i="14" l="1"/>
  <c r="I62" i="14" s="1"/>
  <c r="H61" i="14"/>
  <c r="I61" i="14" s="1"/>
  <c r="H60" i="14"/>
  <c r="I60" i="14" s="1"/>
  <c r="H59" i="14"/>
  <c r="I59" i="14" s="1"/>
  <c r="H58" i="14"/>
  <c r="I58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I56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6" i="4"/>
  <c r="J26" i="4" s="1"/>
  <c r="H25" i="4"/>
  <c r="J25" i="4" s="1"/>
  <c r="H24" i="4"/>
  <c r="J24" i="4" s="1"/>
  <c r="H23" i="4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J28" i="4" s="1"/>
  <c r="G35" i="6"/>
  <c r="I35" i="6" s="1"/>
  <c r="O33" i="6"/>
  <c r="I33" i="6"/>
  <c r="K33" i="6" s="1"/>
  <c r="G32" i="6"/>
  <c r="I32" i="6" s="1"/>
  <c r="G31" i="6"/>
  <c r="I31" i="6" s="1"/>
  <c r="G30" i="6"/>
  <c r="I30" i="6" s="1"/>
  <c r="G29" i="6"/>
  <c r="I29" i="6" s="1"/>
  <c r="G28" i="6"/>
  <c r="I28" i="6" s="1"/>
  <c r="I27" i="6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P33" i="6" l="1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E160" i="2"/>
  <c r="F160" i="2" s="1"/>
  <c r="H160" i="2" s="1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J56" i="14" l="1"/>
  <c r="K53" i="14"/>
  <c r="M185" i="2" l="1"/>
  <c r="M61" i="2"/>
  <c r="J123" i="2"/>
  <c r="G17" i="13" l="1"/>
  <c r="G18" i="13" s="1"/>
  <c r="O32" i="6" l="1"/>
  <c r="K32" i="6"/>
  <c r="P32" i="6" l="1"/>
  <c r="J15" i="12"/>
  <c r="M15" i="12"/>
  <c r="O35" i="3" l="1"/>
  <c r="K50" i="14" l="1"/>
  <c r="J63" i="14" l="1"/>
  <c r="J65" i="14" s="1"/>
  <c r="K123" i="2" l="1"/>
  <c r="F123" i="2"/>
  <c r="H121" i="2"/>
  <c r="L121" i="2"/>
  <c r="H123" i="2" l="1"/>
  <c r="M121" i="2"/>
  <c r="K59" i="14" l="1"/>
  <c r="K60" i="14"/>
  <c r="K61" i="14"/>
  <c r="K62" i="14"/>
  <c r="K58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K56" i="14" s="1"/>
  <c r="I63" i="14"/>
  <c r="I65" i="14" l="1"/>
  <c r="K70" i="14" s="1"/>
  <c r="K63" i="14"/>
  <c r="K65" i="14" l="1"/>
  <c r="K71" i="14" s="1"/>
  <c r="N36" i="6" l="1"/>
  <c r="O31" i="6" l="1"/>
  <c r="K31" i="6"/>
  <c r="P31" i="6" l="1"/>
  <c r="B13" i="13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s="1"/>
  <c r="B8" i="13" l="1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6" i="6"/>
  <c r="L36" i="6"/>
  <c r="O30" i="6"/>
  <c r="K30" i="6" l="1"/>
  <c r="P30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K199" i="2" l="1"/>
  <c r="L15" i="12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8" i="4"/>
  <c r="O26" i="4"/>
  <c r="L26" i="4"/>
  <c r="P26" i="4" l="1"/>
  <c r="H24" i="2"/>
  <c r="U18" i="6" l="1"/>
  <c r="V18" i="6" s="1"/>
  <c r="U23" i="6"/>
  <c r="V23" i="6" s="1"/>
  <c r="G9" i="14" l="1"/>
  <c r="G10" i="14" s="1"/>
  <c r="G11" i="14" s="1"/>
  <c r="G12" i="14" s="1"/>
  <c r="G58" i="14" s="1"/>
  <c r="G13" i="14" s="1"/>
  <c r="G14" i="14" s="1"/>
  <c r="G15" i="14" s="1"/>
  <c r="G16" i="14" s="1"/>
  <c r="G17" i="14" s="1"/>
  <c r="G59" i="14" s="1"/>
  <c r="G60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1" i="14" s="1"/>
  <c r="G38" i="14" s="1"/>
  <c r="G39" i="14" s="1"/>
  <c r="G40" i="14" s="1"/>
  <c r="G41" i="14" s="1"/>
  <c r="G42" i="14" s="1"/>
  <c r="G43" i="14" s="1"/>
  <c r="G45" i="14" s="1"/>
  <c r="E17" i="13"/>
  <c r="E18" i="13" s="1"/>
  <c r="G62" i="14" l="1"/>
  <c r="G47" i="14"/>
  <c r="L43" i="2"/>
  <c r="M43" i="2" l="1"/>
  <c r="O27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8" i="6"/>
  <c r="K28" i="6"/>
  <c r="K27" i="6"/>
  <c r="P27" i="6" s="1"/>
  <c r="F18" i="13" l="1"/>
  <c r="O25" i="6"/>
  <c r="K25" i="6"/>
  <c r="P25" i="6" l="1"/>
  <c r="S30" i="5" l="1"/>
  <c r="J36" i="6" l="1"/>
  <c r="O29" i="6"/>
  <c r="O35" i="6"/>
  <c r="K35" i="6"/>
  <c r="P35" i="6" s="1"/>
  <c r="L25" i="4" l="1"/>
  <c r="O23" i="4"/>
  <c r="O24" i="4"/>
  <c r="O25" i="4"/>
  <c r="L24" i="4"/>
  <c r="L23" i="4"/>
  <c r="P23" i="4" l="1"/>
  <c r="P25" i="4"/>
  <c r="P24" i="4"/>
  <c r="K29" i="6"/>
  <c r="P29" i="6" s="1"/>
  <c r="O24" i="6"/>
  <c r="K24" i="6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2" i="4" l="1"/>
  <c r="K18" i="5"/>
  <c r="P13" i="4"/>
  <c r="P15" i="4"/>
  <c r="P17" i="4"/>
  <c r="P19" i="4"/>
  <c r="P21" i="4"/>
  <c r="L27" i="5"/>
  <c r="L28" i="5" s="1"/>
  <c r="O36" i="6"/>
  <c r="P16" i="6"/>
  <c r="P19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6" i="6"/>
  <c r="M53" i="2"/>
  <c r="P12" i="6"/>
  <c r="P14" i="6"/>
  <c r="P21" i="6"/>
  <c r="P15" i="6"/>
  <c r="P24" i="6"/>
  <c r="P13" i="6"/>
  <c r="P18" i="6"/>
  <c r="P22" i="6"/>
  <c r="P23" i="6"/>
  <c r="P17" i="6"/>
  <c r="P20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199" i="2" l="1"/>
  <c r="P28" i="4"/>
  <c r="M24" i="2"/>
  <c r="B11" i="13"/>
  <c r="D11" i="13" s="1"/>
  <c r="P36" i="6"/>
  <c r="O63" i="2"/>
  <c r="B12" i="13"/>
  <c r="D12" i="13" s="1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6" i="6" l="1"/>
  <c r="P52" i="6" s="1"/>
  <c r="P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<sst xmlns="http://schemas.openxmlformats.org/spreadsheetml/2006/main" count="1271" uniqueCount="779">
  <si>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</si>
  <si>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</si>
  <si>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</si>
  <si>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</si>
  <si>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</si>
  <si>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</si>
  <si>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</si>
  <si>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</si>
  <si>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</si>
  <si>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</si>
  <si>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</si>
  <si>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</si>
  <si>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</si>
  <si>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</si>
  <si>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</si>
  <si>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</si>
  <si>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</si>
  <si>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</si>
  <si>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</si>
  <si>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</si>
  <si>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</si>
  <si>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</si>
  <si>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</si>
  <si>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</si>
  <si>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</si>
  <si>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</si>
  <si>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</si>
  <si>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</si>
  <si>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</si>
  <si>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</si>
  <si>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</si>
  <si>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</si>
  <si>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</si>
  <si>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</si>
  <si>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</si>
  <si>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</si>
  <si>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</si>
  <si>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</si>
  <si>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</si>
  <si>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</si>
  <si>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</si>
  <si>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</si>
  <si>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</si>
  <si>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</si>
  <si>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</si>
  <si>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</si>
  <si>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</si>
  <si>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</si>
  <si>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</si>
  <si>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</si>
  <si>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</si>
  <si>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</si>
  <si>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</si>
  <si>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</si>
  <si>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</si>
  <si>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</si>
  <si>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</si>
  <si>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</si>
  <si>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</si>
  <si>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</si>
  <si>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</si>
  <si>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</si>
  <si>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</si>
  <si>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</si>
  <si>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</si>
  <si>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</si>
  <si>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</si>
  <si>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</si>
  <si>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</si>
  <si>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</si>
  <si>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</si>
  <si>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</si>
  <si>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</si>
  <si>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</si>
  <si>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</si>
  <si>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</si>
  <si>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</si>
  <si>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</si>
  <si>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</si>
  <si>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</si>
  <si>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</si>
  <si>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</si>
  <si>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</si>
  <si>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</si>
  <si>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</si>
  <si>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</si>
  <si>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</si>
  <si>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</si>
  <si>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</si>
  <si>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</si>
  <si>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</si>
  <si>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</si>
  <si>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</si>
  <si>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</si>
  <si>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</si>
  <si>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</si>
  <si>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</si>
  <si>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</si>
  <si>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</si>
  <si>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</si>
  <si>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</si>
  <si>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</si>
  <si>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</si>
  <si>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</si>
  <si>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</si>
  <si>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</si>
  <si>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</si>
  <si>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</si>
  <si>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</si>
  <si>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</si>
  <si>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</si>
  <si>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</si>
  <si>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</si>
  <si>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</si>
  <si>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</si>
  <si>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</si>
  <si>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</si>
  <si>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</si>
  <si>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</si>
  <si>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</si>
  <si>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</si>
  <si>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</si>
  <si>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</si>
  <si>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</si>
  <si>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</si>
  <si>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</si>
  <si>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</si>
  <si>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</si>
  <si>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</si>
  <si>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</si>
  <si>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</si>
  <si>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</si>
  <si>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</si>
  <si>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</si>
  <si>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</si>
  <si>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</si>
  <si>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</si>
  <si>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</si>
  <si>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</si>
  <si>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</si>
  <si>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</si>
  <si>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</si>
  <si>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</si>
  <si>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</si>
  <si>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</si>
  <si>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</si>
  <si>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</si>
  <si>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</si>
  <si>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</si>
  <si>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</si>
  <si>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</si>
  <si>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</si>
  <si>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</si>
  <si>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</si>
  <si>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</si>
  <si>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</si>
  <si>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</si>
  <si>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</si>
  <si>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</si>
  <si>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</si>
  <si>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</si>
  <si>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</si>
  <si>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</si>
  <si>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</si>
  <si>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</si>
  <si>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</si>
  <si>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</si>
  <si>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</si>
  <si>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</si>
  <si>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</si>
  <si>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</si>
  <si>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</si>
  <si>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</si>
  <si>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</si>
  <si>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</si>
  <si>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</si>
  <si>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</si>
  <si>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</si>
  <si>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</si>
  <si>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</si>
  <si>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</si>
  <si>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</si>
  <si>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</si>
  <si>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</si>
  <si>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</si>
  <si>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</si>
  <si>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</si>
  <si>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</si>
  <si>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</si>
  <si>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</si>
  <si>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</si>
  <si>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</si>
  <si>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</si>
  <si>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</si>
  <si>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</si>
  <si>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</si>
  <si>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</si>
  <si>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</si>
  <si>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</si>
  <si>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</si>
  <si>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</si>
  <si>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</si>
  <si>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</si>
  <si>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</si>
  <si>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</si>
  <si>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</si>
  <si>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</si>
  <si>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</si>
  <si>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</si>
  <si>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</si>
  <si>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</si>
  <si>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</si>
  <si>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</si>
  <si>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</si>
  <si>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</si>
  <si>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Engelberto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</si>
  <si>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</si>
  <si>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</si>
  <si>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</si>
  <si>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</si>
  <si>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</si>
  <si>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</si>
  <si>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</si>
  <si>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</si>
  <si>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</si>
  <si>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</si>
  <si>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</si>
  <si>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Oicial de linea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</si>
  <si>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</si>
  <si>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</si>
  <si>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</si>
  <si>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</si>
  <si>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</si>
  <si>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</si>
  <si>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</si>
  <si>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</si>
  <si>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</si>
  <si>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</si>
  <si>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</si>
  <si>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</si>
  <si>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</si>
  <si>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</si>
  <si>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</si>
  <si>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</si>
  <si>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</si>
  <si>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</si>
  <si>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</si>
  <si>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</si>
  <si>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</si>
  <si>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</si>
  <si>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</si>
  <si>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</si>
  <si>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</si>
  <si>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</si>
  <si>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</si>
  <si>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</si>
  <si>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</si>
  <si>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</si>
  <si>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</si>
  <si>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</si>
  <si>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</si>
  <si>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</si>
  <si>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</si>
  <si>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</si>
  <si>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</si>
  <si>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</si>
  <si>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</si>
  <si>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</si>
  <si>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</si>
  <si>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</si>
  <si>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</si>
  <si>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</si>
  <si>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</si>
  <si>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</si>
  <si>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</si>
  <si>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</si>
  <si>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</si>
  <si>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</si>
  <si>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</si>
  <si>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</si>
  <si>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</si>
  <si>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</si>
  <si>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</si>
  <si>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</si>
  <si>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</si>
  <si>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</si>
  <si>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</si>
  <si>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</si>
  <si>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</si>
  <si>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</si>
  <si>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</si>
  <si>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</si>
  <si>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</si>
  <si>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</si>
  <si>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</si>
  <si>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</si>
  <si>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</si>
  <si>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</si>
  <si>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</si>
  <si>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</si>
  <si>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</si>
  <si>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</si>
  <si>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</si>
  <si>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</si>
  <si>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</si>
  <si>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</si>
  <si>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</si>
  <si>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</si>
  <si>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</si>
  <si>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</si>
  <si>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</si>
  <si>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</si>
  <si>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</si>
  <si>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</si>
  <si>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</si>
  <si>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</si>
  <si>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</si>
  <si>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</si>
  <si>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</si>
  <si>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</si>
  <si>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</si>
  <si>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</si>
  <si>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</si>
  <si>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</si>
  <si>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</si>
  <si>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</si>
  <si>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</si>
  <si>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</si>
  <si>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</si>
  <si>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</si>
  <si>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</si>
  <si>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</si>
  <si>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</si>
  <si>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</si>
  <si>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</si>
  <si>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</si>
  <si>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</si>
  <si>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</si>
  <si>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</si>
  <si>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</si>
  <si>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</si>
  <si>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</si>
  <si>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</si>
  <si>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</si>
  <si>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</si>
  <si>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</si>
  <si>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</si>
  <si>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</si>
  <si>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</si>
  <si>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</si>
  <si>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</si>
  <si>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</si>
  <si>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</si>
  <si>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</si>
  <si>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</si>
  <si>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</si>
  <si>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</si>
  <si>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</si>
  <si>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</si>
  <si>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</si>
  <si>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</si>
  <si>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</si>
  <si>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</si>
  <si>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</si>
  <si>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</si>
  <si>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</si>
  <si>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</si>
  <si>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</si>
  <si>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</si>
  <si>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</si>
  <si>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</si>
  <si>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</si>
  <si>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</si>
  <si>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</si>
  <si>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</si>
  <si>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</si>
  <si>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</si>
  <si>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</si>
  <si>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</si>
  <si>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</si>
  <si>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</si>
  <si>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</si>
  <si>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</si>
  <si>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</si>
  <si>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</si>
  <si>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</si>
  <si>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</si>
  <si>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</si>
  <si>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</si>
  <si>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</si>
  <si>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</si>
  <si>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</si>
  <si>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</si>
  <si>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</si>
  <si>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</si>
  <si>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</si>
  <si>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</si>
  <si>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</si>
  <si>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</si>
  <si>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</si>
  <si>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</si>
  <si>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</si>
  <si>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</si>
  <si>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</si>
  <si>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</si>
  <si>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</si>
  <si>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</si>
  <si>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</si>
  <si>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</si>
  <si>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</si>
  <si>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</si>
  <si>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</si>
  <si>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</si>
  <si>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</si>
  <si>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</si>
  <si>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</si>
  <si>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</si>
  <si>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</si>
  <si>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</si>
  <si>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</si>
  <si>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</si>
  <si>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</si>
  <si>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</si>
  <si>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</si>
  <si>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</si>
  <si>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</si>
  <si>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</si>
  <si>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</si>
  <si>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</si>
  <si>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</si>
  <si>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</si>
  <si>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</si>
  <si>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</si>
  <si>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</si>
  <si>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</si>
  <si>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</si>
  <si>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</si>
  <si>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</si>
  <si>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</si>
  <si>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</si>
  <si>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</si>
  <si>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</si>
  <si>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</si>
  <si>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</si>
  <si>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</si>
  <si>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</si>
  <si>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</si>
  <si>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</si>
  <si>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</si>
  <si>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</si>
  <si>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</si>
  <si>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</si>
  <si>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</si>
  <si>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</si>
  <si>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</si>
  <si>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</si>
  <si>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</si>
  <si>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</si>
  <si>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</si>
  <si>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</si>
  <si>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</si>
  <si>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</si>
  <si>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</si>
  <si>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</si>
  <si>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</si>
  <si>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</si>
  <si>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</si>
  <si>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</si>
  <si>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</si>
  <si>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</si>
  <si>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</si>
  <si>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</si>
  <si>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</si>
  <si>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</si>
  <si>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</si>
  <si>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</si>
  <si>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</si>
  <si>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</si>
  <si>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</si>
  <si>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</si>
  <si>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</si>
  <si>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</si>
  <si>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</si>
  <si>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</si>
  <si>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</si>
  <si>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</si>
  <si>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</si>
  <si>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</si>
  <si>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</si>
  <si>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</si>
  <si>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</si>
  <si>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</si>
  <si>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</si>
  <si>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</si>
  <si>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</si>
  <si>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</si>
  <si>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</si>
  <si>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</si>
  <si>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</si>
  <si>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</si>
  <si>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</si>
  <si>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</si>
  <si>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</si>
  <si>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</si>
  <si>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</si>
  <si>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</si>
  <si>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</si>
  <si>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</si>
  <si>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</si>
  <si>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</si>
  <si>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</si>
  <si>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</si>
  <si>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</si>
  <si>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</si>
  <si>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</si>
  <si>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</si>
  <si>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</si>
  <si>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</si>
  <si>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</si>
  <si>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</si>
  <si>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</si>
  <si>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</si>
  <si>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</si>
  <si>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</si>
  <si>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</si>
  <si>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</si>
  <si>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</si>
  <si>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</si>
  <si>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</si>
  <si>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</si>
  <si>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</si>
  <si>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</si>
  <si>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</si>
  <si>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</si>
  <si>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</si>
  <si>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</si>
  <si>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</si>
  <si>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</si>
  <si>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</si>
  <si>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</si>
  <si>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</si>
  <si>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</si>
  <si>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</si>
  <si>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</si>
  <si>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</si>
  <si>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</si>
  <si>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</si>
  <si>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</si>
  <si>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</si>
  <si>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</si>
  <si>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</si>
  <si>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</si>
  <si>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</si>
  <si>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</si>
  <si>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</si>
  <si>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</si>
  <si>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</si>
  <si>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</si>
  <si>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</si>
  <si>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</si>
  <si>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</si>
  <si>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</si>
  <si>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</si>
  <si>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</si>
  <si>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</si>
  <si>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</si>
  <si>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</si>
  <si>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</si>
  <si>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</si>
  <si>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</si>
  <si>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</si>
  <si>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</si>
  <si>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</si>
  <si>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</si>
  <si>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</si>
  <si>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</si>
  <si>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</si>
  <si>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</si>
  <si>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</si>
  <si>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</si>
  <si>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</si>
  <si>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</si>
  <si>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</si>
  <si>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</si>
  <si>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</si>
  <si>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</si>
  <si>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</si>
  <si>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</si>
  <si>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</si>
  <si>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</si>
  <si>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</si>
  <si>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</si>
  <si>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</si>
  <si>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</si>
  <si>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</si>
  <si>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</si>
  <si>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</si>
  <si>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</si>
  <si>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</si>
  <si>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</si>
  <si>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</si>
  <si>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</si>
  <si>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</si>
  <si>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</si>
  <si>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</si>
  <si>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</si>
  <si>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</si>
  <si>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</si>
  <si>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</si>
  <si>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</si>
  <si>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</si>
  <si>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</si>
  <si>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</si>
  <si>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</si>
  <si>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</si>
  <si>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</si>
  <si>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</si>
  <si>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</si>
  <si>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</si>
  <si>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</si>
  <si>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</si>
  <si>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</si>
  <si>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</si>
  <si>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</si>
  <si>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</si>
  <si>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</si>
  <si>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</si>
  <si>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</si>
  <si>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</si>
  <si>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</si>
  <si>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</si>
  <si>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</si>
  <si>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</si>
  <si>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</si>
  <si>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</si>
  <si>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</si>
  <si>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</si>
  <si>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</si>
  <si>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</si>
  <si>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</si>
  <si>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</si>
  <si>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</si>
  <si>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</si>
  <si>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</si>
  <si>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</si>
  <si>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</si>
  <si>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</si>
  <si>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</si>
  <si>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</si>
  <si>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</si>
  <si>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</si>
  <si>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</si>
  <si>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</si>
  <si>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</si>
  <si>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</si>
  <si>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</si>
  <si>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</si>
  <si>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</si>
  <si>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</si>
  <si>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</si>
  <si>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</si>
  <si>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</si>
  <si>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</si>
  <si>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</si>
  <si>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</si>
  <si>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</si>
  <si>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</si>
  <si>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</si>
  <si>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</si>
  <si>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</si>
  <si>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</si>
  <si>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</si>
  <si>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</si>
  <si>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</si>
  <si>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</si>
  <si>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</si>
  <si>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</si>
  <si>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</si>
  <si>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</si>
  <si>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</si>
  <si>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</si>
  <si>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</si>
  <si>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</si>
  <si>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</si>
  <si>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</si>
  <si>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</si>
  <si>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</si>
  <si>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</si>
  <si>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</si>
  <si>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</si>
  <si>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</si>
  <si>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</si>
  <si>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</si>
  <si>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</si>
  <si>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</si>
  <si>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</si>
  <si>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</si>
  <si>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</si>
  <si>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</si>
  <si>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</si>
  <si>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</si>
  <si>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</si>
  <si>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</si>
  <si>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</si>
  <si>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</si>
  <si>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</si>
  <si>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</si>
  <si>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</si>
  <si>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</si>
  <si>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</si>
  <si>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</si>
  <si>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</si>
  <si>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</si>
  <si>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</si>
  <si>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</si>
  <si>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</si>
  <si>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</si>
  <si>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</si>
  <si>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</si>
  <si>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</si>
  <si>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</si>
  <si>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</si>
  <si>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</si>
  <si>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</si>
  <si>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</si>
  <si>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</si>
  <si>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</si>
  <si>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</si>
  <si>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</si>
  <si>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</si>
  <si>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</si>
  <si>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</si>
  <si>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</si>
  <si>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</si>
  <si>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</si>
  <si>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</si>
  <si>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</si>
  <si>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</si>
  <si>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</si>
  <si>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</si>
  <si>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</si>
  <si>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</si>
  <si>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</si>
  <si>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</si>
  <si>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</si>
  <si>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>NOMINA DE REGIDORES DEL 1 AL 15 DE MARZO DE 2020</t>
  </si>
  <si>
    <t>NOMINA PERSONAL PERMANENTE DEL 01 AL 15 DE MARZO  2020</t>
  </si>
  <si>
    <t>NOMINA PERSONAL PERMANENTE DEL 1 AL 15 DE MARZO  2020</t>
  </si>
  <si>
    <t>NOMINA PERSONAL PERMANENTE DEL 01 AL 15 MARZO 2020</t>
  </si>
  <si>
    <t>NOMINA PERSONAL PERMANENTE DEL 01 AL 15 DE MARZO DE   2020</t>
  </si>
  <si>
    <t>NOMINA PERSONAL PERMANENTE DEL 01 AL 15 DE MARZO 2020</t>
  </si>
  <si>
    <t>NOMINA PERSONAL PERMANENTE DEL 01 AL 15 DE MARZO   2020</t>
  </si>
  <si>
    <t>NOMINA  DEL 01 AL 15 DE MARZO 2020</t>
  </si>
  <si>
    <t>NOMINA DEL 01 AL 15 DE MARZO  DE 2020</t>
  </si>
  <si>
    <t>NOMINA DEL 01 AL 15 DE MARZO  DEL 2020</t>
  </si>
  <si>
    <t>NOMINA DE PENSIONADOS DEL 01 AL 15  DE MARZO   2020</t>
  </si>
  <si>
    <t xml:space="preserve">                DEL 01 AL 15 DE MARZO  DEL 2020</t>
  </si>
  <si>
    <t xml:space="preserve">GARCIA </t>
  </si>
  <si>
    <t xml:space="preserve">ROBLES </t>
  </si>
  <si>
    <t>JOSEFINA</t>
  </si>
  <si>
    <t>AUX. DE PLAZ DE CINCO MINAS</t>
  </si>
  <si>
    <t>PAGO DEL MES DE MARZO 2020</t>
  </si>
  <si>
    <t>H. Ayuntamiento de Hostotipaquillo Jal 2018-2021 Nomina Correspondiente al mes de Marzo 2020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</si>
  <si>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</si>
  <si>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</si>
  <si>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</si>
  <si>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</si>
  <si>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</si>
  <si>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</si>
  <si>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</si>
  <si>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</si>
  <si>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>Proma Diciembre y junio.</t>
  </si>
  <si>
    <t xml:space="preserve">Prima Junio y dceimbre 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</si>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</sst>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6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39" fillId="0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164" fontId="39" fillId="16" borderId="5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F8" sqref="F8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79"/>
      <c r="D1" s="580"/>
      <c r="E1" s="580"/>
      <c r="F1" s="580"/>
      <c r="G1" s="580"/>
      <c r="H1" s="580"/>
      <c r="I1" s="321"/>
      <c r="J1" s="29"/>
      <c r="K1" s="29"/>
      <c r="L1" s="29"/>
      <c r="M1" s="29"/>
    </row>
    <row r="2" spans="2:20" ht="19.5">
      <c r="B2" s="581" t="s">
        <v>222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3"/>
    </row>
    <row r="3" spans="2:20">
      <c r="B3" s="584" t="s">
        <v>745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6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1" t="s">
        <v>1</v>
      </c>
      <c r="C6" s="512" t="s">
        <v>2</v>
      </c>
      <c r="D6" s="512" t="s">
        <v>3</v>
      </c>
      <c r="E6" s="512" t="s">
        <v>238</v>
      </c>
      <c r="F6" s="513" t="s">
        <v>4</v>
      </c>
      <c r="G6" s="513" t="s">
        <v>5</v>
      </c>
      <c r="H6" s="512" t="s">
        <v>48</v>
      </c>
      <c r="I6" s="512" t="s">
        <v>635</v>
      </c>
      <c r="J6" s="512" t="s">
        <v>47</v>
      </c>
      <c r="K6" s="513" t="s">
        <v>6</v>
      </c>
      <c r="L6" s="514" t="s">
        <v>7</v>
      </c>
      <c r="M6" s="515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281</v>
      </c>
      <c r="C8" s="3" t="s">
        <v>31</v>
      </c>
      <c r="D8" s="9">
        <v>11894</v>
      </c>
      <c r="E8" s="9" t="s">
        <v>239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282</v>
      </c>
      <c r="C9" s="3" t="s">
        <v>483</v>
      </c>
      <c r="D9" s="9">
        <v>11894</v>
      </c>
      <c r="E9" s="9" t="s">
        <v>239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283</v>
      </c>
      <c r="C10" s="3" t="s">
        <v>605</v>
      </c>
      <c r="D10" s="9">
        <v>11894</v>
      </c>
      <c r="E10" s="9" t="s">
        <v>239</v>
      </c>
      <c r="F10" s="9">
        <v>0</v>
      </c>
      <c r="G10" s="9">
        <f>D10</f>
        <v>11894</v>
      </c>
      <c r="H10" s="9">
        <v>0</v>
      </c>
      <c r="I10" s="492">
        <v>2000</v>
      </c>
      <c r="J10" s="9">
        <v>1893.83</v>
      </c>
      <c r="K10" s="9">
        <f t="shared" si="0"/>
        <v>1893.83</v>
      </c>
      <c r="L10" s="172">
        <f t="shared" si="1"/>
        <v>8000.17</v>
      </c>
      <c r="M10" s="137"/>
      <c r="P10" s="170"/>
    </row>
    <row r="11" spans="2:20" ht="39.950000000000003" customHeight="1">
      <c r="B11" s="171" t="s">
        <v>284</v>
      </c>
      <c r="C11" s="3" t="s">
        <v>43</v>
      </c>
      <c r="D11" s="9">
        <v>11894</v>
      </c>
      <c r="E11" s="9" t="s">
        <v>239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285</v>
      </c>
      <c r="C12" s="3" t="s">
        <v>44</v>
      </c>
      <c r="D12" s="9">
        <v>11894</v>
      </c>
      <c r="E12" s="9" t="s">
        <v>239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71" t="s">
        <v>286</v>
      </c>
      <c r="C13" s="572" t="s">
        <v>744</v>
      </c>
      <c r="D13" s="573">
        <v>11894</v>
      </c>
      <c r="E13" s="573" t="s">
        <v>239</v>
      </c>
      <c r="F13" s="573">
        <v>0</v>
      </c>
      <c r="G13" s="573">
        <v>11894</v>
      </c>
      <c r="H13" s="573">
        <v>0</v>
      </c>
      <c r="I13" s="573"/>
      <c r="J13" s="573">
        <v>1893.83</v>
      </c>
      <c r="K13" s="573">
        <f t="shared" si="0"/>
        <v>1893.83</v>
      </c>
      <c r="L13" s="574">
        <f t="shared" si="1"/>
        <v>10000.17</v>
      </c>
      <c r="M13" s="575"/>
      <c r="N13" s="338">
        <v>43877</v>
      </c>
      <c r="P13" s="170"/>
    </row>
    <row r="14" spans="2:20" ht="39.950000000000003" customHeight="1">
      <c r="B14" s="171" t="s">
        <v>287</v>
      </c>
      <c r="C14" s="3" t="s">
        <v>35</v>
      </c>
      <c r="D14" s="9">
        <v>11894</v>
      </c>
      <c r="E14" s="9" t="s">
        <v>239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288</v>
      </c>
      <c r="C15" s="3" t="s">
        <v>33</v>
      </c>
      <c r="D15" s="9">
        <v>11894</v>
      </c>
      <c r="E15" s="9" t="s">
        <v>239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235</v>
      </c>
    </row>
    <row r="16" spans="2:20" ht="39.950000000000003" customHeight="1">
      <c r="B16" s="171" t="s">
        <v>289</v>
      </c>
      <c r="C16" s="3" t="s">
        <v>34</v>
      </c>
      <c r="D16" s="9">
        <v>11894</v>
      </c>
      <c r="E16" s="9" t="s">
        <v>239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2">
        <f t="shared" si="1"/>
        <v>10000.17</v>
      </c>
      <c r="M16" s="3"/>
      <c r="P16" s="170"/>
      <c r="S16" s="173">
        <v>262038.17</v>
      </c>
      <c r="T16" s="168" t="s">
        <v>223</v>
      </c>
    </row>
    <row r="17" spans="2:20" ht="39.950000000000003" customHeight="1">
      <c r="B17" s="171" t="s">
        <v>290</v>
      </c>
      <c r="C17" s="3" t="s">
        <v>633</v>
      </c>
      <c r="D17" s="9">
        <v>11894</v>
      </c>
      <c r="E17" s="9" t="s">
        <v>240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236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237</v>
      </c>
    </row>
    <row r="22" spans="2:20">
      <c r="B22" s="587" t="s">
        <v>470</v>
      </c>
      <c r="C22" s="587"/>
      <c r="D22" s="181"/>
      <c r="F22" s="588" t="s">
        <v>45</v>
      </c>
      <c r="G22" s="588"/>
      <c r="H22" s="588"/>
      <c r="I22" s="588"/>
      <c r="J22" s="588"/>
      <c r="L22" s="588" t="s">
        <v>646</v>
      </c>
      <c r="M22" s="588"/>
      <c r="N22" s="6"/>
      <c r="P22" s="115"/>
      <c r="Q22" s="115"/>
      <c r="S22" s="174"/>
    </row>
    <row r="23" spans="2:20">
      <c r="B23" s="588" t="s">
        <v>150</v>
      </c>
      <c r="C23" s="588"/>
      <c r="D23" s="6"/>
      <c r="F23" s="588" t="s">
        <v>453</v>
      </c>
      <c r="G23" s="588"/>
      <c r="H23" s="588"/>
      <c r="I23" s="588"/>
      <c r="J23" s="588"/>
      <c r="L23" s="588" t="s">
        <v>30</v>
      </c>
      <c r="M23" s="588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224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234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277</v>
      </c>
    </row>
    <row r="30" spans="2:20">
      <c r="P30" s="179"/>
      <c r="S30" s="180">
        <f>SUM(S15:S29)</f>
        <v>806112.31</v>
      </c>
      <c r="T30" s="168" t="s">
        <v>278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F27" sqref="F27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42578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7" t="s">
        <v>762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9"/>
    </row>
    <row r="2" spans="2:16" ht="15.75">
      <c r="B2" s="660" t="s">
        <v>429</v>
      </c>
      <c r="C2" s="660"/>
      <c r="D2" s="660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9" t="s">
        <v>157</v>
      </c>
      <c r="C3" s="205"/>
      <c r="D3" s="205"/>
      <c r="E3" s="205"/>
      <c r="F3" s="205"/>
      <c r="G3" s="206" t="s">
        <v>28</v>
      </c>
      <c r="H3" s="661" t="s">
        <v>60</v>
      </c>
      <c r="I3" s="662"/>
      <c r="J3" s="207"/>
      <c r="K3" s="208" t="s">
        <v>61</v>
      </c>
      <c r="L3" s="209"/>
      <c r="M3" s="347"/>
      <c r="N3" s="347"/>
    </row>
    <row r="4" spans="2:16" ht="15.75" customHeight="1">
      <c r="B4" s="540" t="s">
        <v>158</v>
      </c>
      <c r="C4" s="663" t="s">
        <v>52</v>
      </c>
      <c r="D4" s="664"/>
      <c r="E4" s="664"/>
      <c r="F4" s="210"/>
      <c r="G4" s="211"/>
      <c r="H4" s="549" t="s">
        <v>3</v>
      </c>
      <c r="I4" s="550" t="s">
        <v>159</v>
      </c>
      <c r="J4" s="551" t="s">
        <v>67</v>
      </c>
      <c r="K4" s="552" t="s">
        <v>430</v>
      </c>
      <c r="L4" s="553" t="s">
        <v>160</v>
      </c>
      <c r="M4" s="350" t="s">
        <v>675</v>
      </c>
      <c r="N4" s="348"/>
    </row>
    <row r="5" spans="2:16" ht="15.75">
      <c r="B5" s="541" t="s">
        <v>161</v>
      </c>
      <c r="C5" s="542" t="s">
        <v>53</v>
      </c>
      <c r="D5" s="543" t="s">
        <v>54</v>
      </c>
      <c r="E5" s="543" t="s">
        <v>55</v>
      </c>
      <c r="F5" s="543" t="s">
        <v>56</v>
      </c>
      <c r="G5" s="544" t="s">
        <v>57</v>
      </c>
      <c r="H5" s="545" t="s">
        <v>431</v>
      </c>
      <c r="I5" s="546" t="s">
        <v>165</v>
      </c>
      <c r="J5" s="547" t="s">
        <v>166</v>
      </c>
      <c r="K5" s="548" t="s">
        <v>431</v>
      </c>
      <c r="L5" s="543" t="s">
        <v>168</v>
      </c>
      <c r="M5" s="349" t="s">
        <v>674</v>
      </c>
      <c r="N5" s="349" t="s">
        <v>578</v>
      </c>
    </row>
    <row r="6" spans="2:16">
      <c r="B6" s="212" t="s">
        <v>432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604</v>
      </c>
      <c r="D7" s="191" t="s">
        <v>689</v>
      </c>
      <c r="E7" s="191" t="s">
        <v>690</v>
      </c>
      <c r="F7" s="306" t="s">
        <v>433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436</v>
      </c>
      <c r="D8" s="195" t="s">
        <v>669</v>
      </c>
      <c r="E8" s="195" t="s">
        <v>670</v>
      </c>
      <c r="F8" s="195" t="s">
        <v>434</v>
      </c>
      <c r="G8" s="195" t="s">
        <v>435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436</v>
      </c>
      <c r="D9" s="195" t="s">
        <v>210</v>
      </c>
      <c r="E9" s="195" t="s">
        <v>437</v>
      </c>
      <c r="F9" s="195" t="s">
        <v>438</v>
      </c>
      <c r="G9" s="195" t="s">
        <v>439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440</v>
      </c>
      <c r="E10" s="195" t="s">
        <v>441</v>
      </c>
      <c r="F10" s="362" t="s">
        <v>442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443</v>
      </c>
      <c r="D11" s="195" t="s">
        <v>444</v>
      </c>
      <c r="E11" s="195" t="s">
        <v>445</v>
      </c>
      <c r="F11" s="195" t="s">
        <v>446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447</v>
      </c>
      <c r="F12" s="195" t="s">
        <v>448</v>
      </c>
      <c r="G12" s="195" t="s">
        <v>449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604</v>
      </c>
      <c r="D13" s="195" t="s">
        <v>689</v>
      </c>
      <c r="E13" s="195" t="s">
        <v>690</v>
      </c>
      <c r="F13" s="362" t="s">
        <v>450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733</v>
      </c>
      <c r="E14" s="195" t="s">
        <v>734</v>
      </c>
      <c r="F14" s="362" t="s">
        <v>450</v>
      </c>
      <c r="G14" s="195"/>
      <c r="H14" s="308">
        <v>2400</v>
      </c>
      <c r="I14" s="308">
        <v>2400</v>
      </c>
      <c r="J14" s="215">
        <v>279.14999999999998</v>
      </c>
      <c r="K14" s="308"/>
      <c r="L14" s="562">
        <f t="shared" si="1"/>
        <v>2679.15</v>
      </c>
      <c r="M14" s="355"/>
      <c r="N14" s="351">
        <f t="shared" si="0"/>
        <v>2679.15</v>
      </c>
      <c r="O14" s="320"/>
      <c r="P14" t="s">
        <v>732</v>
      </c>
    </row>
    <row r="15" spans="2:16" ht="15.75" thickBot="1">
      <c r="B15" s="219" t="s">
        <v>451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65"/>
      <c r="G18" s="665"/>
      <c r="I18" s="665"/>
      <c r="J18" s="665"/>
      <c r="K18" s="665"/>
    </row>
    <row r="19" spans="2:14">
      <c r="C19" s="228" t="s">
        <v>452</v>
      </c>
      <c r="D19" s="228"/>
      <c r="E19" s="228"/>
      <c r="F19" s="228" t="s">
        <v>646</v>
      </c>
      <c r="G19" s="228"/>
      <c r="H19" s="228"/>
      <c r="I19" s="228" t="s">
        <v>629</v>
      </c>
      <c r="J19" s="229"/>
      <c r="K19" s="230"/>
    </row>
    <row r="20" spans="2:14">
      <c r="C20" s="228" t="s">
        <v>453</v>
      </c>
      <c r="D20" s="228"/>
      <c r="E20" s="228"/>
      <c r="F20" s="228" t="s">
        <v>454</v>
      </c>
      <c r="G20" s="228"/>
      <c r="H20" s="228"/>
      <c r="I20" s="228" t="s">
        <v>455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9" t="s">
        <v>499</v>
      </c>
      <c r="C2" s="649"/>
      <c r="D2" s="649"/>
      <c r="F2" s="232" t="s">
        <v>502</v>
      </c>
    </row>
    <row r="3" spans="1:9" ht="15" customHeight="1">
      <c r="A3" s="232" t="s">
        <v>500</v>
      </c>
      <c r="B3" s="232"/>
      <c r="C3" s="232"/>
      <c r="D3" s="232"/>
    </row>
    <row r="4" spans="1:9" ht="12.75" customHeight="1">
      <c r="A4" s="232" t="s">
        <v>501</v>
      </c>
      <c r="B4" s="649" t="s">
        <v>498</v>
      </c>
      <c r="C4" s="649"/>
      <c r="D4" s="649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497</v>
      </c>
      <c r="B7" s="253" t="s">
        <v>496</v>
      </c>
      <c r="C7" s="232"/>
      <c r="D7" s="252" t="s">
        <v>493</v>
      </c>
      <c r="E7" s="252" t="s">
        <v>494</v>
      </c>
      <c r="F7" s="252" t="s">
        <v>495</v>
      </c>
      <c r="G7" s="261" t="s">
        <v>479</v>
      </c>
      <c r="I7" s="261" t="s">
        <v>589</v>
      </c>
    </row>
    <row r="8" spans="1:9">
      <c r="A8" s="244" t="s">
        <v>474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475</v>
      </c>
      <c r="B9" s="278">
        <f>BASE!M199</f>
        <v>269051.3</v>
      </c>
      <c r="C9" s="238"/>
      <c r="D9" s="240">
        <f t="shared" si="0"/>
        <v>269051.3</v>
      </c>
    </row>
    <row r="10" spans="1:9">
      <c r="A10" s="244" t="s">
        <v>476</v>
      </c>
      <c r="B10" s="278">
        <f>'SEGU-PBCA'!P36</f>
        <v>103877.39000000001</v>
      </c>
      <c r="C10" s="238"/>
      <c r="D10" s="240">
        <f t="shared" si="0"/>
        <v>103877.39000000001</v>
      </c>
    </row>
    <row r="11" spans="1:9">
      <c r="A11" s="244" t="s">
        <v>477</v>
      </c>
      <c r="B11" s="278">
        <f>'P-CIVIL'!P28</f>
        <v>64615.07</v>
      </c>
      <c r="C11" s="238"/>
      <c r="D11" s="240">
        <f t="shared" si="0"/>
        <v>64615.07</v>
      </c>
    </row>
    <row r="12" spans="1:9">
      <c r="A12" s="244" t="s">
        <v>478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479</v>
      </c>
      <c r="B13" s="278">
        <f>'NOMINA ORD. DE PAGO QUINCENAL'!K65</f>
        <v>158040</v>
      </c>
      <c r="C13" s="245"/>
      <c r="D13" s="241">
        <f t="shared" si="0"/>
        <v>158040</v>
      </c>
      <c r="I13" s="254"/>
    </row>
    <row r="14" spans="1:9">
      <c r="A14" s="244" t="s">
        <v>480</v>
      </c>
      <c r="B14" s="278">
        <f>'PAGO TRAB.MENSUALES'!J32</f>
        <v>23592</v>
      </c>
      <c r="C14" s="238"/>
      <c r="E14" s="240">
        <f>B14</f>
        <v>23592</v>
      </c>
    </row>
    <row r="15" spans="1:9">
      <c r="A15" s="244" t="s">
        <v>481</v>
      </c>
      <c r="B15" s="184">
        <f>'PAGO SEMANAL'!C12</f>
        <v>3215.1</v>
      </c>
      <c r="C15" s="238"/>
      <c r="E15" s="240"/>
      <c r="F15" s="240">
        <f>'PAGO SEMANAL'!C12</f>
        <v>3215.1</v>
      </c>
      <c r="G15" s="254"/>
    </row>
    <row r="16" spans="1:9">
      <c r="A16" s="244" t="s">
        <v>378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482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5" t="e">
        <f>#REF!</f>
        <v>#REF!</v>
      </c>
    </row>
    <row r="18" spans="1:8" ht="15.75" thickTop="1">
      <c r="A18" s="244"/>
      <c r="B18" s="242">
        <f>SUM(B8:B17)</f>
        <v>848719.75999999989</v>
      </c>
      <c r="C18" s="246"/>
      <c r="D18" s="243">
        <f>SUM(D8:D17)</f>
        <v>796150.58</v>
      </c>
      <c r="E18" s="243">
        <f>SUM(E8:E17)</f>
        <v>49354.080000000002</v>
      </c>
      <c r="F18" s="243">
        <f>SUM(F8:F17)</f>
        <v>3215.1</v>
      </c>
      <c r="G18" s="366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848719.75999999989</v>
      </c>
    </row>
    <row r="21" spans="1:8">
      <c r="E21" s="240"/>
    </row>
    <row r="22" spans="1:8">
      <c r="B22" t="s">
        <v>587</v>
      </c>
      <c r="D22" s="240">
        <f>D8+D9+D12+D13+E14+F15+G15+D16+E17</f>
        <v>680227.29999999993</v>
      </c>
    </row>
    <row r="23" spans="1:8">
      <c r="B23" s="227" t="s">
        <v>588</v>
      </c>
      <c r="C23" s="307"/>
      <c r="D23" s="307">
        <f>D10+D11</f>
        <v>168492.46000000002</v>
      </c>
    </row>
    <row r="24" spans="1:8">
      <c r="C24" s="240"/>
      <c r="D24" s="364">
        <f>SUM(D22:D23)</f>
        <v>848719.76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96" zoomScaleNormal="100" workbookViewId="0">
      <selection activeCell="J90" sqref="J90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9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9" t="s">
        <v>28</v>
      </c>
      <c r="D1" s="589"/>
      <c r="E1" s="589"/>
      <c r="F1" s="590"/>
      <c r="G1" s="590"/>
      <c r="H1" s="590"/>
      <c r="I1" s="590"/>
      <c r="J1" s="168"/>
    </row>
    <row r="2" spans="2:18" ht="19.5">
      <c r="B2" s="595" t="s">
        <v>222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P2" s="298">
        <f t="shared" ref="P2:P63" si="0">M2-O2</f>
        <v>0</v>
      </c>
    </row>
    <row r="3" spans="2:18" ht="15">
      <c r="B3" s="596" t="s">
        <v>746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P3" s="298">
        <f t="shared" si="0"/>
        <v>0</v>
      </c>
    </row>
    <row r="4" spans="2:18" ht="12.75">
      <c r="B4" s="20"/>
      <c r="C4" s="22" t="s">
        <v>0</v>
      </c>
      <c r="D4" s="22"/>
      <c r="E4" s="367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5" t="s">
        <v>1</v>
      </c>
      <c r="C5" s="456" t="s">
        <v>2</v>
      </c>
      <c r="D5" s="456" t="s">
        <v>238</v>
      </c>
      <c r="E5" s="457"/>
      <c r="F5" s="456" t="s">
        <v>3</v>
      </c>
      <c r="G5" s="458" t="s">
        <v>4</v>
      </c>
      <c r="H5" s="458" t="s">
        <v>5</v>
      </c>
      <c r="I5" s="456" t="s">
        <v>725</v>
      </c>
      <c r="J5" s="456" t="s">
        <v>634</v>
      </c>
      <c r="K5" s="456" t="s">
        <v>47</v>
      </c>
      <c r="L5" s="458" t="s">
        <v>6</v>
      </c>
      <c r="M5" s="459" t="s">
        <v>7</v>
      </c>
      <c r="N5" s="459" t="s">
        <v>29</v>
      </c>
      <c r="P5" s="298"/>
    </row>
    <row r="6" spans="2:18" ht="18" customHeight="1">
      <c r="B6" s="23" t="s">
        <v>10</v>
      </c>
      <c r="C6" s="3"/>
      <c r="D6" s="3"/>
      <c r="E6" s="368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281</v>
      </c>
      <c r="C7" s="3" t="s">
        <v>664</v>
      </c>
      <c r="D7" s="8" t="s">
        <v>241</v>
      </c>
      <c r="E7" s="369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282</v>
      </c>
      <c r="C8" s="3" t="s">
        <v>598</v>
      </c>
      <c r="D8" s="8" t="s">
        <v>242</v>
      </c>
      <c r="E8" s="369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0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8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8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283</v>
      </c>
      <c r="C12" s="3" t="s">
        <v>32</v>
      </c>
      <c r="D12" s="8" t="s">
        <v>606</v>
      </c>
      <c r="E12" s="369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284</v>
      </c>
      <c r="C13" s="279" t="s">
        <v>593</v>
      </c>
      <c r="D13" s="8" t="s">
        <v>243</v>
      </c>
      <c r="E13" s="369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70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8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8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285</v>
      </c>
      <c r="C17" s="3" t="s">
        <v>46</v>
      </c>
      <c r="D17" s="8" t="s">
        <v>244</v>
      </c>
      <c r="E17" s="369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70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4"/>
      <c r="D19" s="3"/>
      <c r="E19" s="368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8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8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286</v>
      </c>
      <c r="C22" s="3"/>
      <c r="D22" s="8" t="s">
        <v>241</v>
      </c>
      <c r="E22" s="369"/>
      <c r="F22" s="9"/>
      <c r="G22" s="9">
        <v>0</v>
      </c>
      <c r="H22" s="9"/>
      <c r="I22" s="13"/>
      <c r="J22" s="360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287</v>
      </c>
      <c r="C23" s="3" t="s">
        <v>470</v>
      </c>
      <c r="D23" s="8" t="s">
        <v>245</v>
      </c>
      <c r="E23" s="369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70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8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79"/>
      <c r="D26" s="579"/>
      <c r="E26" s="579"/>
      <c r="F26" s="580"/>
      <c r="G26" s="580"/>
      <c r="H26" s="580"/>
      <c r="I26" s="580"/>
      <c r="J26" s="321"/>
      <c r="K26" s="29"/>
      <c r="L26" s="29"/>
      <c r="M26" s="29"/>
      <c r="N26" s="29"/>
      <c r="P26" s="298"/>
    </row>
    <row r="27" spans="2:16" ht="18" customHeight="1">
      <c r="B27" s="581" t="s">
        <v>222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3"/>
      <c r="P27" s="298"/>
    </row>
    <row r="28" spans="2:16" ht="18" customHeight="1">
      <c r="B28" s="584" t="s">
        <v>747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6"/>
      <c r="P28" s="298"/>
    </row>
    <row r="29" spans="2:16" ht="18" customHeight="1">
      <c r="B29" s="30"/>
      <c r="C29" s="31" t="s">
        <v>0</v>
      </c>
      <c r="D29" s="31"/>
      <c r="E29" s="371"/>
      <c r="N29" s="32"/>
      <c r="P29" s="298"/>
    </row>
    <row r="30" spans="2:16" ht="18" customHeight="1">
      <c r="B30" s="37" t="s">
        <v>612</v>
      </c>
      <c r="C30" s="31"/>
      <c r="D30" s="31"/>
      <c r="E30" s="371"/>
      <c r="N30" s="32"/>
      <c r="P30" s="298"/>
    </row>
    <row r="31" spans="2:16" ht="34.5" thickBot="1">
      <c r="B31" s="460" t="s">
        <v>1</v>
      </c>
      <c r="C31" s="461" t="s">
        <v>2</v>
      </c>
      <c r="D31" s="461"/>
      <c r="E31" s="462"/>
      <c r="F31" s="461" t="s">
        <v>3</v>
      </c>
      <c r="G31" s="463" t="s">
        <v>4</v>
      </c>
      <c r="H31" s="463" t="s">
        <v>5</v>
      </c>
      <c r="I31" s="461" t="s">
        <v>48</v>
      </c>
      <c r="J31" s="461" t="s">
        <v>635</v>
      </c>
      <c r="K31" s="461" t="s">
        <v>47</v>
      </c>
      <c r="L31" s="463" t="s">
        <v>6</v>
      </c>
      <c r="M31" s="464" t="s">
        <v>7</v>
      </c>
      <c r="N31" s="465" t="s">
        <v>29</v>
      </c>
      <c r="P31" s="298"/>
    </row>
    <row r="32" spans="2:16" ht="30" customHeight="1" thickTop="1">
      <c r="B32" s="20" t="s">
        <v>288</v>
      </c>
      <c r="C32" s="300" t="s">
        <v>486</v>
      </c>
      <c r="D32" s="8" t="s">
        <v>241</v>
      </c>
      <c r="E32" s="369">
        <f>7370/2</f>
        <v>3685</v>
      </c>
      <c r="F32" s="9">
        <v>3685</v>
      </c>
      <c r="G32" s="360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289</v>
      </c>
      <c r="C33" s="3" t="s">
        <v>663</v>
      </c>
      <c r="D33" s="8" t="s">
        <v>246</v>
      </c>
      <c r="E33" s="369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2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3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3"/>
      <c r="N36" s="32"/>
      <c r="P36" s="298"/>
    </row>
    <row r="37" spans="2:16" ht="30" customHeight="1">
      <c r="B37" s="20" t="s">
        <v>290</v>
      </c>
      <c r="C37" s="3" t="s">
        <v>226</v>
      </c>
      <c r="D37" s="8" t="s">
        <v>247</v>
      </c>
      <c r="E37" s="369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379</v>
      </c>
      <c r="C38" s="3" t="s">
        <v>665</v>
      </c>
      <c r="D38" s="8" t="s">
        <v>248</v>
      </c>
      <c r="E38" s="369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2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3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3"/>
      <c r="N41" s="32"/>
      <c r="P41" s="298"/>
    </row>
    <row r="42" spans="2:16" ht="18" customHeight="1">
      <c r="B42" s="37" t="s">
        <v>15</v>
      </c>
      <c r="E42" s="373"/>
      <c r="N42" s="32"/>
      <c r="P42" s="298"/>
    </row>
    <row r="43" spans="2:16" ht="30" customHeight="1">
      <c r="B43" s="20" t="s">
        <v>380</v>
      </c>
      <c r="C43" s="3" t="s">
        <v>602</v>
      </c>
      <c r="D43" s="8" t="s">
        <v>249</v>
      </c>
      <c r="E43" s="369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381</v>
      </c>
      <c r="C44" s="3" t="s">
        <v>661</v>
      </c>
      <c r="D44" s="8" t="s">
        <v>259</v>
      </c>
      <c r="E44" s="369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382</v>
      </c>
      <c r="C45" s="239" t="s">
        <v>644</v>
      </c>
      <c r="D45" s="8" t="s">
        <v>241</v>
      </c>
      <c r="E45" s="369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383</v>
      </c>
      <c r="C46" s="3" t="s">
        <v>662</v>
      </c>
      <c r="D46" s="8" t="s">
        <v>241</v>
      </c>
      <c r="E46" s="369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2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3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3"/>
      <c r="N49" s="32"/>
      <c r="P49" s="298"/>
    </row>
    <row r="50" spans="2:16" ht="18" customHeight="1">
      <c r="B50" s="37" t="s">
        <v>16</v>
      </c>
      <c r="E50" s="373"/>
      <c r="N50" s="32"/>
      <c r="P50" s="298"/>
    </row>
    <row r="51" spans="2:16" ht="30" customHeight="1">
      <c r="B51" s="20" t="s">
        <v>384</v>
      </c>
      <c r="C51" s="3" t="s">
        <v>36</v>
      </c>
      <c r="D51" s="8" t="s">
        <v>251</v>
      </c>
      <c r="E51" s="369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385</v>
      </c>
      <c r="C52" s="3" t="s">
        <v>687</v>
      </c>
      <c r="D52" s="8" t="s">
        <v>252</v>
      </c>
      <c r="E52" s="369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7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4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750</v>
      </c>
      <c r="K53" s="283">
        <f>SUM(K51:K52)</f>
        <v>822.85</v>
      </c>
      <c r="L53" s="283">
        <f t="shared" si="13"/>
        <v>822.85</v>
      </c>
      <c r="M53" s="283">
        <f>SUM(M51:M52)</f>
        <v>7806.15</v>
      </c>
      <c r="N53" s="44"/>
      <c r="O53" s="295">
        <f>H53+I53-L53</f>
        <v>8556.15</v>
      </c>
      <c r="P53" s="298">
        <f t="shared" si="0"/>
        <v>-750</v>
      </c>
    </row>
    <row r="54" spans="2:16" ht="18" customHeight="1">
      <c r="E54" s="375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5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1" t="s">
        <v>222</v>
      </c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3"/>
      <c r="P56" s="298"/>
    </row>
    <row r="57" spans="2:16" ht="18" customHeight="1">
      <c r="B57" s="584" t="s">
        <v>748</v>
      </c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6"/>
      <c r="P57" s="298"/>
    </row>
    <row r="58" spans="2:16" ht="18" customHeight="1">
      <c r="B58" s="30"/>
      <c r="C58" s="31" t="s">
        <v>0</v>
      </c>
      <c r="D58" s="31"/>
      <c r="E58" s="371"/>
      <c r="N58" s="32"/>
      <c r="P58" s="298"/>
    </row>
    <row r="59" spans="2:16" ht="30" customHeight="1" thickBot="1">
      <c r="B59" s="460" t="s">
        <v>1</v>
      </c>
      <c r="C59" s="461" t="s">
        <v>2</v>
      </c>
      <c r="D59" s="461"/>
      <c r="E59" s="462"/>
      <c r="F59" s="461" t="s">
        <v>3</v>
      </c>
      <c r="G59" s="463" t="s">
        <v>4</v>
      </c>
      <c r="H59" s="463" t="s">
        <v>5</v>
      </c>
      <c r="I59" s="461" t="s">
        <v>48</v>
      </c>
      <c r="J59" s="461"/>
      <c r="K59" s="461" t="s">
        <v>47</v>
      </c>
      <c r="L59" s="463" t="s">
        <v>6</v>
      </c>
      <c r="M59" s="464" t="s">
        <v>7</v>
      </c>
      <c r="N59" s="465" t="s">
        <v>29</v>
      </c>
      <c r="P59" s="298"/>
    </row>
    <row r="60" spans="2:16" ht="18" customHeight="1" thickTop="1">
      <c r="B60" s="37" t="s">
        <v>17</v>
      </c>
      <c r="E60" s="373"/>
      <c r="N60" s="32"/>
      <c r="P60" s="298"/>
    </row>
    <row r="61" spans="2:16" ht="18" customHeight="1">
      <c r="B61" s="20" t="s">
        <v>386</v>
      </c>
      <c r="C61" s="3" t="s">
        <v>600</v>
      </c>
      <c r="D61" s="8" t="s">
        <v>601</v>
      </c>
      <c r="E61" s="369">
        <f>10384/2</f>
        <v>5192</v>
      </c>
      <c r="F61" s="519">
        <f>E61</f>
        <v>5192</v>
      </c>
      <c r="G61" s="27"/>
      <c r="H61" s="27">
        <f>F61</f>
        <v>5192</v>
      </c>
      <c r="I61" s="27"/>
      <c r="J61" s="519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387</v>
      </c>
      <c r="C62" s="3" t="s">
        <v>37</v>
      </c>
      <c r="D62" s="8" t="s">
        <v>259</v>
      </c>
      <c r="E62" s="369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1" t="s">
        <v>688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2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3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3"/>
      <c r="N65" s="32"/>
      <c r="P65" s="298"/>
    </row>
    <row r="66" spans="2:16" ht="24.95" customHeight="1">
      <c r="B66" s="37" t="s">
        <v>18</v>
      </c>
      <c r="E66" s="373"/>
      <c r="N66" s="32"/>
      <c r="P66" s="298"/>
    </row>
    <row r="67" spans="2:16" ht="24.95" customHeight="1">
      <c r="B67" s="20" t="s">
        <v>388</v>
      </c>
      <c r="C67" s="3" t="s">
        <v>40</v>
      </c>
      <c r="D67" s="8" t="s">
        <v>254</v>
      </c>
      <c r="E67" s="369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389</v>
      </c>
      <c r="C68" s="3" t="s">
        <v>38</v>
      </c>
      <c r="D68" s="8" t="s">
        <v>255</v>
      </c>
      <c r="E68" s="369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390</v>
      </c>
      <c r="C69" s="3" t="s">
        <v>39</v>
      </c>
      <c r="D69" s="8" t="s">
        <v>256</v>
      </c>
      <c r="E69" s="369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2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3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3"/>
      <c r="N72" s="32"/>
      <c r="P72" s="298"/>
    </row>
    <row r="73" spans="2:16" ht="24.95" customHeight="1">
      <c r="B73" s="37" t="s">
        <v>19</v>
      </c>
      <c r="E73" s="373"/>
      <c r="N73" s="32"/>
      <c r="P73" s="298"/>
    </row>
    <row r="74" spans="2:16" ht="24.95" customHeight="1">
      <c r="B74" s="20" t="s">
        <v>391</v>
      </c>
      <c r="C74" s="3" t="s">
        <v>485</v>
      </c>
      <c r="D74" s="8" t="s">
        <v>257</v>
      </c>
      <c r="E74" s="369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2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6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5"/>
      <c r="P77" s="298"/>
    </row>
    <row r="78" spans="2:16" ht="18" customHeight="1">
      <c r="E78" s="375"/>
      <c r="P78" s="298"/>
    </row>
    <row r="79" spans="2:16" ht="18" customHeight="1">
      <c r="E79" s="375"/>
      <c r="P79" s="298"/>
    </row>
    <row r="80" spans="2:16" ht="18" customHeight="1">
      <c r="B80" s="581" t="s">
        <v>222</v>
      </c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3"/>
      <c r="P80" s="298"/>
    </row>
    <row r="81" spans="2:16" ht="18" customHeight="1">
      <c r="B81" s="584" t="s">
        <v>746</v>
      </c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6"/>
      <c r="P81" s="298"/>
    </row>
    <row r="82" spans="2:16" ht="18" customHeight="1">
      <c r="B82" s="30"/>
      <c r="C82" s="31" t="s">
        <v>0</v>
      </c>
      <c r="D82" s="31"/>
      <c r="E82" s="371"/>
      <c r="N82" s="32"/>
      <c r="P82" s="298"/>
    </row>
    <row r="83" spans="2:16" ht="30" customHeight="1" thickBot="1">
      <c r="B83" s="460" t="s">
        <v>1</v>
      </c>
      <c r="C83" s="461" t="s">
        <v>2</v>
      </c>
      <c r="D83" s="461"/>
      <c r="E83" s="462"/>
      <c r="F83" s="461" t="s">
        <v>3</v>
      </c>
      <c r="G83" s="463" t="s">
        <v>4</v>
      </c>
      <c r="H83" s="463" t="s">
        <v>5</v>
      </c>
      <c r="I83" s="461" t="s">
        <v>48</v>
      </c>
      <c r="J83" s="461"/>
      <c r="K83" s="461" t="s">
        <v>47</v>
      </c>
      <c r="L83" s="463" t="s">
        <v>6</v>
      </c>
      <c r="M83" s="464" t="s">
        <v>7</v>
      </c>
      <c r="N83" s="465" t="s">
        <v>29</v>
      </c>
      <c r="P83" s="298"/>
    </row>
    <row r="84" spans="2:16" ht="18" customHeight="1" thickTop="1">
      <c r="B84" s="37" t="s">
        <v>20</v>
      </c>
      <c r="E84" s="373"/>
      <c r="N84" s="32"/>
      <c r="P84" s="298"/>
    </row>
    <row r="85" spans="2:16" ht="30" customHeight="1">
      <c r="B85" s="20" t="s">
        <v>392</v>
      </c>
      <c r="C85" s="3" t="s">
        <v>457</v>
      </c>
      <c r="D85" s="8" t="s">
        <v>258</v>
      </c>
      <c r="E85" s="369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393</v>
      </c>
      <c r="C86" s="3" t="s">
        <v>458</v>
      </c>
      <c r="D86" s="8" t="s">
        <v>258</v>
      </c>
      <c r="E86" s="369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394</v>
      </c>
      <c r="C87" s="3" t="s">
        <v>459</v>
      </c>
      <c r="D87" s="8" t="s">
        <v>258</v>
      </c>
      <c r="E87" s="369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395</v>
      </c>
      <c r="C88" s="3" t="s">
        <v>460</v>
      </c>
      <c r="D88" s="8" t="s">
        <v>250</v>
      </c>
      <c r="E88" s="369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396</v>
      </c>
      <c r="C89" s="3" t="s">
        <v>461</v>
      </c>
      <c r="D89" s="8" t="s">
        <v>259</v>
      </c>
      <c r="E89" s="369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397</v>
      </c>
      <c r="C90" s="3" t="s">
        <v>462</v>
      </c>
      <c r="D90" s="8" t="s">
        <v>258</v>
      </c>
      <c r="E90" s="369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566">
        <v>1000</v>
      </c>
      <c r="K90" s="9">
        <v>339.78</v>
      </c>
      <c r="L90" s="9">
        <f t="shared" si="22"/>
        <v>339.78</v>
      </c>
      <c r="M90" s="9">
        <f t="shared" si="23"/>
        <v>2913.2200000000003</v>
      </c>
      <c r="N90" s="38"/>
      <c r="P90" s="298"/>
    </row>
    <row r="91" spans="2:16" ht="30" customHeight="1">
      <c r="B91" s="20" t="s">
        <v>398</v>
      </c>
      <c r="C91" s="3" t="s">
        <v>463</v>
      </c>
      <c r="D91" s="8" t="s">
        <v>259</v>
      </c>
      <c r="E91" s="369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399</v>
      </c>
      <c r="C92" s="3" t="s">
        <v>647</v>
      </c>
      <c r="D92" s="8" t="s">
        <v>648</v>
      </c>
      <c r="E92" s="369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2"/>
      <c r="F93" s="282">
        <f>SUM(F85:F92)</f>
        <v>41874</v>
      </c>
      <c r="G93" s="282">
        <f>SUM(G85:G92)</f>
        <v>0</v>
      </c>
      <c r="H93" s="282">
        <f>SUM(H85:H92)</f>
        <v>41874</v>
      </c>
      <c r="I93" s="282">
        <f t="shared" ref="I93" si="24">SUM(I85:I91)</f>
        <v>0</v>
      </c>
      <c r="J93" s="282">
        <f>SUM(J85:J91)</f>
        <v>1000</v>
      </c>
      <c r="K93" s="282">
        <f>SUM(K85:K92)</f>
        <v>4163.03</v>
      </c>
      <c r="L93" s="282">
        <f>SUM(L85:L92)</f>
        <v>4163.03</v>
      </c>
      <c r="M93" s="282">
        <f>SUM(M85:M92)</f>
        <v>36710.97</v>
      </c>
      <c r="N93" s="46"/>
      <c r="O93" s="295">
        <f>H93+I93-L93</f>
        <v>37710.97</v>
      </c>
      <c r="P93" s="298">
        <f t="shared" si="18"/>
        <v>-1000</v>
      </c>
    </row>
    <row r="94" spans="2:16" ht="18" customHeight="1" thickTop="1">
      <c r="B94" s="30"/>
      <c r="E94" s="373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3"/>
      <c r="N95" s="32"/>
      <c r="P95" s="298"/>
    </row>
    <row r="96" spans="2:16" ht="18" customHeight="1">
      <c r="B96" s="37" t="s">
        <v>21</v>
      </c>
      <c r="E96" s="373"/>
      <c r="N96" s="32"/>
      <c r="P96" s="298"/>
    </row>
    <row r="97" spans="2:16" ht="30" customHeight="1">
      <c r="B97" s="20" t="s">
        <v>400</v>
      </c>
      <c r="C97" s="3" t="s">
        <v>464</v>
      </c>
      <c r="D97" s="8" t="s">
        <v>260</v>
      </c>
      <c r="E97" s="369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2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3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3"/>
      <c r="N100" s="32"/>
      <c r="P100" s="298"/>
    </row>
    <row r="101" spans="2:16" ht="18" customHeight="1">
      <c r="B101" s="37" t="s">
        <v>22</v>
      </c>
      <c r="E101" s="373"/>
      <c r="N101" s="32"/>
      <c r="P101" s="298"/>
    </row>
    <row r="102" spans="2:16" ht="30" customHeight="1">
      <c r="B102" s="20" t="s">
        <v>401</v>
      </c>
      <c r="C102" s="3" t="s">
        <v>465</v>
      </c>
      <c r="D102" s="8" t="s">
        <v>261</v>
      </c>
      <c r="E102" s="369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402</v>
      </c>
      <c r="C103" s="3" t="s">
        <v>41</v>
      </c>
      <c r="D103" s="8" t="s">
        <v>262</v>
      </c>
      <c r="E103" s="369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2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6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5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1" t="s">
        <v>222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3"/>
      <c r="P107" s="298"/>
    </row>
    <row r="108" spans="2:16" ht="18" customHeight="1">
      <c r="B108" s="584" t="s">
        <v>749</v>
      </c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6"/>
      <c r="P108" s="298"/>
    </row>
    <row r="109" spans="2:16" ht="18" customHeight="1">
      <c r="B109" s="30"/>
      <c r="C109" s="31" t="s">
        <v>0</v>
      </c>
      <c r="D109" s="31"/>
      <c r="E109" s="371"/>
      <c r="N109" s="32"/>
      <c r="P109" s="298"/>
    </row>
    <row r="110" spans="2:16" ht="32.25" customHeight="1" thickBot="1">
      <c r="B110" s="460" t="s">
        <v>1</v>
      </c>
      <c r="C110" s="461" t="s">
        <v>2</v>
      </c>
      <c r="D110" s="461"/>
      <c r="E110" s="462"/>
      <c r="F110" s="461" t="s">
        <v>3</v>
      </c>
      <c r="G110" s="463" t="s">
        <v>4</v>
      </c>
      <c r="H110" s="463" t="s">
        <v>5</v>
      </c>
      <c r="I110" s="461" t="s">
        <v>48</v>
      </c>
      <c r="J110" s="461" t="s">
        <v>635</v>
      </c>
      <c r="K110" s="461" t="s">
        <v>47</v>
      </c>
      <c r="L110" s="463" t="s">
        <v>6</v>
      </c>
      <c r="M110" s="464" t="s">
        <v>7</v>
      </c>
      <c r="N110" s="465" t="s">
        <v>29</v>
      </c>
      <c r="P110" s="298"/>
    </row>
    <row r="111" spans="2:16" ht="18" customHeight="1" thickTop="1">
      <c r="B111" s="37" t="s">
        <v>23</v>
      </c>
      <c r="E111" s="373"/>
      <c r="N111" s="32"/>
      <c r="P111" s="298"/>
    </row>
    <row r="112" spans="2:16" ht="30" customHeight="1">
      <c r="B112" s="20" t="s">
        <v>403</v>
      </c>
      <c r="C112" s="3" t="s">
        <v>466</v>
      </c>
      <c r="D112" s="8" t="s">
        <v>263</v>
      </c>
      <c r="E112" s="369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404</v>
      </c>
      <c r="C113" s="3" t="s">
        <v>467</v>
      </c>
      <c r="D113" s="8" t="s">
        <v>263</v>
      </c>
      <c r="E113" s="369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405</v>
      </c>
      <c r="C114" s="3" t="s">
        <v>468</v>
      </c>
      <c r="D114" s="8" t="s">
        <v>263</v>
      </c>
      <c r="E114" s="369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406</v>
      </c>
      <c r="C115" s="3" t="s">
        <v>657</v>
      </c>
      <c r="D115" s="8" t="s">
        <v>263</v>
      </c>
      <c r="E115" s="369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4"/>
      <c r="O115" s="200"/>
      <c r="P115" s="298"/>
    </row>
    <row r="116" spans="2:17" ht="30" customHeight="1">
      <c r="B116" s="20" t="s">
        <v>407</v>
      </c>
      <c r="C116" s="3" t="s">
        <v>469</v>
      </c>
      <c r="D116" s="8" t="s">
        <v>263</v>
      </c>
      <c r="E116" s="369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2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3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3"/>
      <c r="N119" s="32"/>
      <c r="P119" s="298"/>
    </row>
    <row r="120" spans="2:17" ht="18" customHeight="1">
      <c r="B120" s="37" t="s">
        <v>24</v>
      </c>
      <c r="E120" s="373"/>
      <c r="N120" s="32"/>
      <c r="P120" s="298"/>
    </row>
    <row r="121" spans="2:17" ht="18" customHeight="1">
      <c r="B121" s="23" t="s">
        <v>408</v>
      </c>
      <c r="C121" s="3" t="s">
        <v>667</v>
      </c>
      <c r="D121" s="8" t="s">
        <v>668</v>
      </c>
      <c r="E121" s="369">
        <f>12210/2</f>
        <v>6105</v>
      </c>
      <c r="F121" s="519">
        <f>E121</f>
        <v>6105</v>
      </c>
      <c r="G121" s="3"/>
      <c r="H121" s="314">
        <f>F121</f>
        <v>6105</v>
      </c>
      <c r="I121" s="3"/>
      <c r="J121" s="519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409</v>
      </c>
      <c r="C122" s="3" t="s">
        <v>471</v>
      </c>
      <c r="D122" s="8" t="s">
        <v>259</v>
      </c>
      <c r="E122" s="369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2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6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5"/>
      <c r="P125" s="298"/>
    </row>
    <row r="126" spans="2:17" ht="18" customHeight="1">
      <c r="E126" s="375"/>
      <c r="P126" s="298"/>
    </row>
    <row r="127" spans="2:17" ht="18" customHeight="1">
      <c r="E127" s="375"/>
      <c r="P127" s="298"/>
    </row>
    <row r="128" spans="2:17" ht="18" customHeight="1">
      <c r="E128" s="375"/>
      <c r="P128" s="298"/>
    </row>
    <row r="129" spans="2:16" ht="18" customHeight="1">
      <c r="B129" s="581" t="s">
        <v>222</v>
      </c>
      <c r="C129" s="582"/>
      <c r="D129" s="582"/>
      <c r="E129" s="582"/>
      <c r="F129" s="582"/>
      <c r="G129" s="582"/>
      <c r="H129" s="582"/>
      <c r="I129" s="582"/>
      <c r="J129" s="582"/>
      <c r="K129" s="582"/>
      <c r="L129" s="582"/>
      <c r="M129" s="582"/>
      <c r="N129" s="583"/>
      <c r="P129" s="298"/>
    </row>
    <row r="130" spans="2:16" ht="18" customHeight="1">
      <c r="B130" s="584" t="s">
        <v>750</v>
      </c>
      <c r="C130" s="585"/>
      <c r="D130" s="585"/>
      <c r="E130" s="585"/>
      <c r="F130" s="585"/>
      <c r="G130" s="585"/>
      <c r="H130" s="585"/>
      <c r="I130" s="585"/>
      <c r="J130" s="585"/>
      <c r="K130" s="585"/>
      <c r="L130" s="585"/>
      <c r="M130" s="585"/>
      <c r="N130" s="586"/>
      <c r="P130" s="298"/>
    </row>
    <row r="131" spans="2:16" ht="18" customHeight="1">
      <c r="B131" s="30" t="s">
        <v>281</v>
      </c>
      <c r="C131" s="31" t="s">
        <v>0</v>
      </c>
      <c r="D131" s="31"/>
      <c r="E131" s="371"/>
      <c r="N131" s="32"/>
      <c r="P131" s="298"/>
    </row>
    <row r="132" spans="2:16" ht="26.25" customHeight="1" thickBot="1">
      <c r="B132" s="460" t="s">
        <v>1</v>
      </c>
      <c r="C132" s="461" t="s">
        <v>2</v>
      </c>
      <c r="D132" s="461"/>
      <c r="E132" s="462"/>
      <c r="F132" s="461" t="s">
        <v>3</v>
      </c>
      <c r="G132" s="463" t="s">
        <v>4</v>
      </c>
      <c r="H132" s="463" t="s">
        <v>5</v>
      </c>
      <c r="I132" s="461" t="s">
        <v>48</v>
      </c>
      <c r="J132" s="461" t="s">
        <v>635</v>
      </c>
      <c r="K132" s="461" t="s">
        <v>47</v>
      </c>
      <c r="L132" s="463" t="s">
        <v>6</v>
      </c>
      <c r="M132" s="464" t="s">
        <v>7</v>
      </c>
      <c r="N132" s="465" t="s">
        <v>29</v>
      </c>
      <c r="P132" s="298"/>
    </row>
    <row r="133" spans="2:16" ht="18" customHeight="1" thickTop="1">
      <c r="B133" s="37" t="s">
        <v>25</v>
      </c>
      <c r="E133" s="373"/>
      <c r="N133" s="32"/>
      <c r="P133" s="298"/>
    </row>
    <row r="134" spans="2:16" ht="35.1" customHeight="1">
      <c r="B134" s="20" t="s">
        <v>410</v>
      </c>
      <c r="C134" s="3" t="s">
        <v>42</v>
      </c>
      <c r="D134" s="8" t="s">
        <v>264</v>
      </c>
      <c r="E134" s="369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411</v>
      </c>
      <c r="C135" s="3" t="s">
        <v>632</v>
      </c>
      <c r="D135" s="8" t="s">
        <v>265</v>
      </c>
      <c r="E135" s="369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412</v>
      </c>
      <c r="C136" s="3" t="s">
        <v>272</v>
      </c>
      <c r="D136" s="8" t="s">
        <v>266</v>
      </c>
      <c r="E136" s="369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413</v>
      </c>
      <c r="C137" s="3" t="s">
        <v>271</v>
      </c>
      <c r="D137" s="8" t="s">
        <v>267</v>
      </c>
      <c r="E137" s="369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414</v>
      </c>
      <c r="C138" s="3" t="s">
        <v>270</v>
      </c>
      <c r="D138" s="8" t="s">
        <v>259</v>
      </c>
      <c r="E138" s="369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415</v>
      </c>
      <c r="C139" s="3" t="s">
        <v>658</v>
      </c>
      <c r="D139" s="8" t="s">
        <v>259</v>
      </c>
      <c r="E139" s="369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416</v>
      </c>
      <c r="C140" s="3" t="s">
        <v>269</v>
      </c>
      <c r="D140" s="8" t="s">
        <v>259</v>
      </c>
      <c r="E140" s="369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417</v>
      </c>
      <c r="C141" s="3" t="s">
        <v>642</v>
      </c>
      <c r="D141" s="8" t="s">
        <v>267</v>
      </c>
      <c r="E141" s="369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418</v>
      </c>
      <c r="C142" s="3" t="s">
        <v>268</v>
      </c>
      <c r="D142" s="8" t="s">
        <v>267</v>
      </c>
      <c r="E142" s="369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2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3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6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5"/>
      <c r="P146" s="298"/>
    </row>
    <row r="147" spans="2:16" ht="18" customHeight="1">
      <c r="E147" s="375"/>
      <c r="P147" s="298"/>
    </row>
    <row r="148" spans="2:16" ht="18" customHeight="1">
      <c r="E148" s="375"/>
      <c r="P148" s="298"/>
    </row>
    <row r="149" spans="2:16" ht="18" customHeight="1">
      <c r="B149" s="581" t="s">
        <v>222</v>
      </c>
      <c r="C149" s="582"/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3"/>
      <c r="P149" s="298"/>
    </row>
    <row r="150" spans="2:16" ht="18" customHeight="1">
      <c r="B150" s="584" t="s">
        <v>746</v>
      </c>
      <c r="C150" s="585"/>
      <c r="D150" s="585"/>
      <c r="E150" s="585"/>
      <c r="F150" s="585"/>
      <c r="G150" s="585"/>
      <c r="H150" s="585"/>
      <c r="I150" s="585"/>
      <c r="J150" s="585"/>
      <c r="K150" s="585"/>
      <c r="L150" s="585"/>
      <c r="M150" s="585"/>
      <c r="N150" s="586"/>
      <c r="P150" s="298"/>
    </row>
    <row r="151" spans="2:16" ht="18" customHeight="1">
      <c r="B151" s="30"/>
      <c r="C151" s="31" t="s">
        <v>0</v>
      </c>
      <c r="D151" s="31"/>
      <c r="E151" s="371"/>
      <c r="N151" s="32"/>
      <c r="P151" s="298"/>
    </row>
    <row r="152" spans="2:16" ht="30" customHeight="1" thickBot="1">
      <c r="B152" s="460" t="s">
        <v>1</v>
      </c>
      <c r="C152" s="461" t="s">
        <v>2</v>
      </c>
      <c r="D152" s="461"/>
      <c r="E152" s="462"/>
      <c r="F152" s="461" t="s">
        <v>3</v>
      </c>
      <c r="G152" s="463" t="s">
        <v>4</v>
      </c>
      <c r="H152" s="463" t="s">
        <v>5</v>
      </c>
      <c r="I152" s="461" t="s">
        <v>48</v>
      </c>
      <c r="J152" s="461" t="s">
        <v>635</v>
      </c>
      <c r="K152" s="461" t="s">
        <v>47</v>
      </c>
      <c r="L152" s="463" t="s">
        <v>6</v>
      </c>
      <c r="M152" s="464" t="s">
        <v>7</v>
      </c>
      <c r="N152" s="465" t="s">
        <v>29</v>
      </c>
      <c r="P152" s="298"/>
    </row>
    <row r="153" spans="2:16" ht="18" customHeight="1" thickTop="1">
      <c r="B153" s="37" t="s">
        <v>26</v>
      </c>
      <c r="E153" s="373"/>
      <c r="N153" s="32"/>
      <c r="P153" s="298"/>
    </row>
    <row r="154" spans="2:16" ht="30" customHeight="1">
      <c r="B154" s="23" t="s">
        <v>419</v>
      </c>
      <c r="C154" s="3" t="s">
        <v>721</v>
      </c>
      <c r="D154" s="8" t="s">
        <v>273</v>
      </c>
      <c r="E154" s="369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420</v>
      </c>
      <c r="C155" s="3" t="s">
        <v>660</v>
      </c>
      <c r="D155" s="8" t="s">
        <v>274</v>
      </c>
      <c r="E155" s="369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2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3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3"/>
      <c r="N158" s="32"/>
      <c r="P158" s="298"/>
    </row>
    <row r="159" spans="2:16" ht="18" customHeight="1">
      <c r="B159" s="37" t="s">
        <v>608</v>
      </c>
      <c r="E159" s="373"/>
      <c r="N159" s="32"/>
      <c r="P159" s="298"/>
    </row>
    <row r="160" spans="2:16" ht="30" customHeight="1">
      <c r="B160" s="23" t="s">
        <v>421</v>
      </c>
      <c r="C160" s="3" t="s">
        <v>694</v>
      </c>
      <c r="D160" s="8" t="s">
        <v>275</v>
      </c>
      <c r="E160" s="369">
        <f>13508/2</f>
        <v>6754</v>
      </c>
      <c r="F160" s="519">
        <f>E160</f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2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3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3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1" t="s">
        <v>222</v>
      </c>
      <c r="C164" s="582"/>
      <c r="D164" s="582"/>
      <c r="E164" s="582"/>
      <c r="F164" s="582"/>
      <c r="G164" s="582"/>
      <c r="H164" s="582"/>
      <c r="I164" s="582"/>
      <c r="J164" s="582"/>
      <c r="K164" s="582"/>
      <c r="L164" s="582"/>
      <c r="M164" s="582"/>
      <c r="N164" s="583"/>
      <c r="P164" s="298"/>
    </row>
    <row r="165" spans="2:16" ht="18" customHeight="1">
      <c r="B165" s="584" t="s">
        <v>751</v>
      </c>
      <c r="C165" s="585"/>
      <c r="D165" s="585"/>
      <c r="E165" s="585"/>
      <c r="F165" s="585"/>
      <c r="G165" s="585"/>
      <c r="H165" s="585"/>
      <c r="I165" s="585"/>
      <c r="J165" s="585"/>
      <c r="K165" s="585"/>
      <c r="L165" s="585"/>
      <c r="M165" s="585"/>
      <c r="N165" s="586"/>
      <c r="P165" s="298"/>
    </row>
    <row r="166" spans="2:16" ht="18" customHeight="1">
      <c r="B166" s="30"/>
      <c r="C166" s="31" t="s">
        <v>0</v>
      </c>
      <c r="D166" s="31"/>
      <c r="E166" s="371"/>
      <c r="N166" s="32"/>
      <c r="P166" s="298"/>
    </row>
    <row r="167" spans="2:16" ht="18" customHeight="1">
      <c r="B167" s="37" t="s">
        <v>654</v>
      </c>
      <c r="E167" s="373"/>
      <c r="N167" s="32"/>
      <c r="P167" s="298"/>
    </row>
    <row r="168" spans="2:16" ht="30" customHeight="1">
      <c r="B168" s="23" t="s">
        <v>422</v>
      </c>
      <c r="C168" s="3" t="s">
        <v>49</v>
      </c>
      <c r="D168" s="8" t="s">
        <v>276</v>
      </c>
      <c r="E168" s="369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7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8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609</v>
      </c>
      <c r="E172" s="373"/>
      <c r="N172" s="32"/>
      <c r="P172" s="298"/>
    </row>
    <row r="173" spans="2:16" ht="18" customHeight="1">
      <c r="B173" s="23" t="s">
        <v>423</v>
      </c>
      <c r="C173" s="3" t="s">
        <v>427</v>
      </c>
      <c r="D173" s="8" t="s">
        <v>428</v>
      </c>
      <c r="E173" s="369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2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6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71"/>
      <c r="N176" s="32"/>
      <c r="P176" s="298"/>
    </row>
    <row r="177" spans="2:17" ht="27.75" customHeight="1" thickBot="1">
      <c r="B177" s="460" t="s">
        <v>1</v>
      </c>
      <c r="C177" s="461" t="s">
        <v>2</v>
      </c>
      <c r="D177" s="461"/>
      <c r="E177" s="462"/>
      <c r="F177" s="461" t="s">
        <v>3</v>
      </c>
      <c r="G177" s="463" t="s">
        <v>4</v>
      </c>
      <c r="H177" s="463" t="s">
        <v>5</v>
      </c>
      <c r="I177" s="461" t="s">
        <v>48</v>
      </c>
      <c r="J177" s="461" t="s">
        <v>635</v>
      </c>
      <c r="K177" s="461" t="s">
        <v>47</v>
      </c>
      <c r="L177" s="463" t="s">
        <v>6</v>
      </c>
      <c r="M177" s="464" t="s">
        <v>7</v>
      </c>
      <c r="N177" s="465" t="s">
        <v>29</v>
      </c>
      <c r="P177" s="298"/>
    </row>
    <row r="178" spans="2:17" ht="18" customHeight="1" thickTop="1">
      <c r="B178" s="37" t="s">
        <v>610</v>
      </c>
      <c r="E178" s="380"/>
      <c r="N178" s="32"/>
      <c r="P178" s="298"/>
    </row>
    <row r="179" spans="2:17" ht="30" customHeight="1">
      <c r="B179" s="23" t="s">
        <v>424</v>
      </c>
      <c r="C179" s="3" t="s">
        <v>659</v>
      </c>
      <c r="D179" s="8" t="s">
        <v>253</v>
      </c>
      <c r="E179" s="369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7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80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71"/>
      <c r="N182" s="32"/>
      <c r="P182" s="298"/>
    </row>
    <row r="183" spans="2:17" ht="18" customHeight="1" thickBot="1">
      <c r="B183" s="460" t="s">
        <v>1</v>
      </c>
      <c r="C183" s="461" t="s">
        <v>2</v>
      </c>
      <c r="D183" s="461"/>
      <c r="E183" s="462"/>
      <c r="F183" s="461" t="s">
        <v>3</v>
      </c>
      <c r="G183" s="463" t="s">
        <v>4</v>
      </c>
      <c r="H183" s="463" t="s">
        <v>5</v>
      </c>
      <c r="I183" s="461" t="s">
        <v>48</v>
      </c>
      <c r="J183" s="461" t="s">
        <v>635</v>
      </c>
      <c r="K183" s="461" t="s">
        <v>47</v>
      </c>
      <c r="L183" s="463" t="s">
        <v>6</v>
      </c>
      <c r="M183" s="464" t="s">
        <v>7</v>
      </c>
      <c r="N183" s="465" t="s">
        <v>29</v>
      </c>
      <c r="P183" s="298"/>
    </row>
    <row r="184" spans="2:17" s="26" customFormat="1" ht="18.75" customHeight="1" thickTop="1">
      <c r="B184" s="37" t="s">
        <v>611</v>
      </c>
      <c r="C184" s="19"/>
      <c r="D184" s="19"/>
      <c r="E184" s="380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425</v>
      </c>
      <c r="C185" s="239" t="s">
        <v>484</v>
      </c>
      <c r="D185" s="8" t="s">
        <v>603</v>
      </c>
      <c r="E185" s="381">
        <f>12210/2</f>
        <v>6105</v>
      </c>
      <c r="F185" s="519">
        <v>6738</v>
      </c>
      <c r="G185" s="27">
        <v>0</v>
      </c>
      <c r="H185" s="27">
        <f>F185</f>
        <v>6738</v>
      </c>
      <c r="I185" s="27"/>
      <c r="J185" s="519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80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71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18.75" customHeight="1" thickBot="1">
      <c r="B188" s="460" t="s">
        <v>1</v>
      </c>
      <c r="C188" s="461" t="s">
        <v>2</v>
      </c>
      <c r="D188" s="461"/>
      <c r="E188" s="462"/>
      <c r="F188" s="461" t="s">
        <v>3</v>
      </c>
      <c r="G188" s="463" t="s">
        <v>4</v>
      </c>
      <c r="H188" s="463" t="s">
        <v>5</v>
      </c>
      <c r="I188" s="461" t="s">
        <v>48</v>
      </c>
      <c r="J188" s="461" t="s">
        <v>635</v>
      </c>
      <c r="K188" s="461" t="s">
        <v>47</v>
      </c>
      <c r="L188" s="463" t="s">
        <v>6</v>
      </c>
      <c r="M188" s="464" t="s">
        <v>7</v>
      </c>
      <c r="N188" s="465" t="s">
        <v>29</v>
      </c>
      <c r="O188" s="298"/>
      <c r="P188" s="298"/>
      <c r="Q188" s="298"/>
    </row>
    <row r="189" spans="2:17" s="26" customFormat="1" ht="18.75" customHeight="1" thickTop="1">
      <c r="B189" s="597" t="s">
        <v>623</v>
      </c>
      <c r="C189" s="598"/>
      <c r="D189" s="310"/>
      <c r="E189" s="382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426</v>
      </c>
      <c r="C190" s="279" t="s">
        <v>637</v>
      </c>
      <c r="D190" s="317" t="s">
        <v>206</v>
      </c>
      <c r="E190" s="383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4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4"/>
      <c r="F192" s="291"/>
      <c r="G192" s="19"/>
      <c r="H192" s="291"/>
      <c r="I192" s="19"/>
      <c r="J192" s="563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71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60" t="s">
        <v>1</v>
      </c>
      <c r="C194" s="461" t="s">
        <v>2</v>
      </c>
      <c r="D194" s="461"/>
      <c r="E194" s="462"/>
      <c r="F194" s="461" t="s">
        <v>3</v>
      </c>
      <c r="G194" s="463" t="s">
        <v>4</v>
      </c>
      <c r="H194" s="463" t="s">
        <v>5</v>
      </c>
      <c r="I194" s="461" t="s">
        <v>48</v>
      </c>
      <c r="J194" s="461" t="s">
        <v>635</v>
      </c>
      <c r="K194" s="461" t="s">
        <v>47</v>
      </c>
      <c r="L194" s="463" t="s">
        <v>6</v>
      </c>
      <c r="M194" s="464" t="s">
        <v>7</v>
      </c>
      <c r="N194" s="465" t="s">
        <v>29</v>
      </c>
      <c r="O194" s="298"/>
    </row>
    <row r="195" spans="1:15" s="26" customFormat="1" ht="18.75" customHeight="1" thickTop="1">
      <c r="B195" s="597" t="s">
        <v>741</v>
      </c>
      <c r="C195" s="598"/>
      <c r="D195" s="310"/>
      <c r="E195" s="382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742</v>
      </c>
      <c r="C196" s="279" t="s">
        <v>743</v>
      </c>
      <c r="D196" s="317" t="s">
        <v>206</v>
      </c>
      <c r="E196" s="383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4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4"/>
      <c r="F198" s="291"/>
      <c r="G198" s="19"/>
      <c r="H198" s="291"/>
      <c r="I198" s="19"/>
      <c r="J198" s="563"/>
      <c r="K198" s="19"/>
      <c r="L198" s="19"/>
      <c r="M198" s="291"/>
      <c r="N198" s="46"/>
      <c r="O198" s="298"/>
    </row>
    <row r="199" spans="1:15" ht="30" customHeight="1" thickBot="1">
      <c r="B199" s="599" t="s">
        <v>27</v>
      </c>
      <c r="C199" s="600"/>
      <c r="D199" s="55"/>
      <c r="E199" s="385"/>
      <c r="F199" s="56">
        <f>F9+F14+F18+F24+F34+F39+F47+F53+F63+F70+F75+F93+F98+F104+F117+F123+F143+F156+F161+F169+F174+F180+F186+F191+F197</f>
        <v>301232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301232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1750</v>
      </c>
      <c r="K199" s="56">
        <f>K9+K14+K18+K24+K34+K39+K47+K53+K63+K70+K75+K93+K98+K104+K117+K123+K143+K156+K161+K169+K174+K180+K186+K191+K197</f>
        <v>30543.869999999995</v>
      </c>
      <c r="L199" s="56">
        <f>L9+L14+L18+L24+L34+L39+L47+L53+L63+L70+L75+L93+L98+L104+L117+L123+L143+L156+L161+L169+L174+L180+L186+L191+L197</f>
        <v>30543.869999999995</v>
      </c>
      <c r="M199" s="234">
        <f>M9+M14+M18+M24+M34+M39+M47+M53+M63+M70+M75+M93+M98+M104+M117+M123+M143+M156+M161+M169+M174+M180+M186+M191+M197</f>
        <v>269051.3</v>
      </c>
      <c r="N199" s="32"/>
    </row>
    <row r="200" spans="1:15" ht="12" thickTop="1">
      <c r="B200" s="30"/>
      <c r="E200" s="380"/>
      <c r="M200" s="235"/>
      <c r="N200" s="32"/>
    </row>
    <row r="201" spans="1:15">
      <c r="A201" s="32"/>
      <c r="C201" s="48"/>
      <c r="E201" s="380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91" t="s">
        <v>470</v>
      </c>
      <c r="C202" s="592"/>
      <c r="D202" s="57"/>
      <c r="E202" s="386"/>
      <c r="F202" s="601" t="s">
        <v>45</v>
      </c>
      <c r="G202" s="601"/>
      <c r="H202" s="601"/>
      <c r="I202" s="166"/>
      <c r="J202" s="166"/>
      <c r="K202" s="59"/>
      <c r="L202" s="592" t="s">
        <v>645</v>
      </c>
      <c r="M202" s="592"/>
      <c r="N202" s="32"/>
    </row>
    <row r="203" spans="1:15">
      <c r="B203" s="593" t="s">
        <v>473</v>
      </c>
      <c r="C203" s="594"/>
      <c r="D203" s="60"/>
      <c r="E203" s="387"/>
      <c r="F203" s="594" t="s">
        <v>473</v>
      </c>
      <c r="G203" s="594"/>
      <c r="H203" s="594"/>
      <c r="I203" s="48"/>
      <c r="J203" s="60"/>
      <c r="K203" s="48"/>
      <c r="L203" s="594" t="s">
        <v>472</v>
      </c>
      <c r="M203" s="594"/>
      <c r="N203" s="33"/>
    </row>
    <row r="207" spans="1:15">
      <c r="C207" s="359"/>
    </row>
    <row r="208" spans="1:15">
      <c r="M208" s="16">
        <f>F199+I199-L199-J199</f>
        <v>269051.3</v>
      </c>
      <c r="O208" s="305">
        <f>SUM(O7:O203)</f>
        <v>264648.19999999995</v>
      </c>
    </row>
    <row r="209" spans="7:13">
      <c r="M209" s="16">
        <f>M199-M208</f>
        <v>0</v>
      </c>
    </row>
    <row r="210" spans="7:13">
      <c r="H210" s="291"/>
      <c r="M210" s="324">
        <f>SUM(M208:M209)</f>
        <v>269051.3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289038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3"/>
  <sheetViews>
    <sheetView tabSelected="1" zoomScale="98" zoomScaleNormal="98" workbookViewId="0">
      <selection activeCell="I13" sqref="I13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08" t="s">
        <v>222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2:22" ht="17.25">
      <c r="B4" s="611" t="s">
        <v>752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20" t="s">
        <v>157</v>
      </c>
      <c r="C8" s="521">
        <v>0</v>
      </c>
      <c r="D8" s="521"/>
      <c r="E8" s="521"/>
      <c r="F8" s="521"/>
      <c r="G8" s="522" t="s">
        <v>28</v>
      </c>
      <c r="H8" s="521"/>
      <c r="I8" s="603" t="s">
        <v>60</v>
      </c>
      <c r="J8" s="604"/>
      <c r="K8" s="605"/>
      <c r="L8" s="523"/>
      <c r="M8" s="523"/>
      <c r="N8" s="603" t="s">
        <v>61</v>
      </c>
      <c r="O8" s="606"/>
      <c r="P8" s="523"/>
      <c r="Q8" s="614" t="s">
        <v>221</v>
      </c>
    </row>
    <row r="9" spans="2:22" s="125" customFormat="1" ht="12.75" customHeight="1">
      <c r="B9" s="493" t="s">
        <v>158</v>
      </c>
      <c r="C9" s="607" t="s">
        <v>52</v>
      </c>
      <c r="D9" s="607"/>
      <c r="E9" s="607"/>
      <c r="F9" s="494"/>
      <c r="G9" s="495"/>
      <c r="H9" s="497" t="s">
        <v>63</v>
      </c>
      <c r="I9" s="524" t="s">
        <v>3</v>
      </c>
      <c r="J9" s="525" t="s">
        <v>65</v>
      </c>
      <c r="K9" s="526" t="s">
        <v>159</v>
      </c>
      <c r="L9" s="525" t="s">
        <v>67</v>
      </c>
      <c r="M9" s="527" t="s">
        <v>635</v>
      </c>
      <c r="N9" s="528"/>
      <c r="O9" s="529" t="s">
        <v>159</v>
      </c>
      <c r="P9" s="530" t="s">
        <v>160</v>
      </c>
      <c r="Q9" s="615"/>
      <c r="R9" s="335" t="s">
        <v>649</v>
      </c>
      <c r="S9" s="335" t="s">
        <v>650</v>
      </c>
    </row>
    <row r="10" spans="2:22" s="125" customFormat="1" ht="14.25">
      <c r="B10" s="502" t="s">
        <v>161</v>
      </c>
      <c r="C10" s="531" t="s">
        <v>53</v>
      </c>
      <c r="D10" s="532" t="s">
        <v>54</v>
      </c>
      <c r="E10" s="532" t="s">
        <v>55</v>
      </c>
      <c r="F10" s="532" t="s">
        <v>56</v>
      </c>
      <c r="G10" s="533"/>
      <c r="H10" s="532" t="s">
        <v>162</v>
      </c>
      <c r="I10" s="534" t="s">
        <v>163</v>
      </c>
      <c r="J10" s="535" t="s">
        <v>203</v>
      </c>
      <c r="K10" s="536" t="s">
        <v>165</v>
      </c>
      <c r="L10" s="535" t="s">
        <v>166</v>
      </c>
      <c r="M10" s="535"/>
      <c r="N10" s="532" t="s">
        <v>75</v>
      </c>
      <c r="O10" s="532" t="s">
        <v>167</v>
      </c>
      <c r="P10" s="537" t="s">
        <v>168</v>
      </c>
      <c r="Q10" s="616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8">
        <f>20530/2</f>
        <v>10265</v>
      </c>
      <c r="H12" s="93">
        <v>15</v>
      </c>
      <c r="I12" s="91">
        <f t="shared" ref="I12:I29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8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5" si="1">(I13+J13)</f>
        <v>6368</v>
      </c>
      <c r="L13" s="91">
        <v>0</v>
      </c>
      <c r="M13" s="91"/>
      <c r="N13" s="91">
        <v>713.48</v>
      </c>
      <c r="O13" s="91">
        <f t="shared" ref="O13:O35" si="2">N13</f>
        <v>713.48</v>
      </c>
      <c r="P13" s="128">
        <f t="shared" ref="P13:P35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8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3" si="4">B14+1</f>
        <v>4</v>
      </c>
      <c r="C15" s="89"/>
      <c r="D15" s="89"/>
      <c r="E15" s="80" t="s">
        <v>211</v>
      </c>
      <c r="F15" s="3" t="s">
        <v>212</v>
      </c>
      <c r="G15" s="388">
        <f t="shared" ref="G15:G25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8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4"/>
        <v>6</v>
      </c>
      <c r="C17" s="89"/>
      <c r="D17" s="89"/>
      <c r="E17" s="80" t="s">
        <v>215</v>
      </c>
      <c r="F17" s="3" t="s">
        <v>212</v>
      </c>
      <c r="G17" s="388">
        <f t="shared" si="5"/>
        <v>4621</v>
      </c>
      <c r="H17" s="93">
        <v>15</v>
      </c>
      <c r="I17" s="91">
        <f t="shared" si="0"/>
        <v>4621</v>
      </c>
      <c r="J17" s="91"/>
      <c r="K17" s="91">
        <f t="shared" si="1"/>
        <v>4621</v>
      </c>
      <c r="L17" s="91">
        <v>0</v>
      </c>
      <c r="M17" s="91"/>
      <c r="N17" s="91">
        <v>395.5</v>
      </c>
      <c r="O17" s="91">
        <f t="shared" si="2"/>
        <v>395.5</v>
      </c>
      <c r="P17" s="128">
        <f t="shared" si="3"/>
        <v>4225.5</v>
      </c>
      <c r="Q17" s="129"/>
      <c r="R17" s="130"/>
      <c r="S17" s="130"/>
      <c r="T17" s="130"/>
      <c r="U17" s="130"/>
      <c r="V17" s="131"/>
    </row>
    <row r="18" spans="2:22" s="132" customFormat="1" ht="30" customHeight="1">
      <c r="B18" s="89">
        <f t="shared" si="4"/>
        <v>7</v>
      </c>
      <c r="C18" s="80"/>
      <c r="D18" s="80"/>
      <c r="E18" s="144" t="s">
        <v>216</v>
      </c>
      <c r="F18" s="133" t="s">
        <v>212</v>
      </c>
      <c r="G18" s="389">
        <f t="shared" si="5"/>
        <v>4621</v>
      </c>
      <c r="H18" s="134">
        <v>15</v>
      </c>
      <c r="I18" s="82">
        <f t="shared" si="0"/>
        <v>4621</v>
      </c>
      <c r="J18" s="82"/>
      <c r="K18" s="82">
        <f t="shared" si="1"/>
        <v>4621</v>
      </c>
      <c r="L18" s="91">
        <v>0</v>
      </c>
      <c r="M18" s="91"/>
      <c r="N18" s="82">
        <v>395.5</v>
      </c>
      <c r="O18" s="82">
        <f t="shared" si="2"/>
        <v>395.5</v>
      </c>
      <c r="P18" s="84">
        <f t="shared" si="3"/>
        <v>4225.5</v>
      </c>
      <c r="Q18" s="135"/>
      <c r="R18" s="130"/>
      <c r="S18" s="130"/>
      <c r="T18" s="273">
        <v>10</v>
      </c>
      <c r="U18" s="273">
        <f>I18/15*T18</f>
        <v>3080.6666666666665</v>
      </c>
      <c r="V18" s="131">
        <f>U18</f>
        <v>3080.6666666666665</v>
      </c>
    </row>
    <row r="19" spans="2:22" s="132" customFormat="1" ht="30" customHeight="1">
      <c r="B19" s="89">
        <f t="shared" si="4"/>
        <v>8</v>
      </c>
      <c r="C19" s="237"/>
      <c r="D19" s="237"/>
      <c r="E19" s="237" t="s">
        <v>685</v>
      </c>
      <c r="F19" s="3" t="s">
        <v>212</v>
      </c>
      <c r="G19" s="388">
        <f t="shared" si="5"/>
        <v>4621</v>
      </c>
      <c r="H19" s="138">
        <v>15</v>
      </c>
      <c r="I19" s="136">
        <f t="shared" si="0"/>
        <v>4621</v>
      </c>
      <c r="J19" s="91"/>
      <c r="K19" s="91">
        <f t="shared" si="1"/>
        <v>4621</v>
      </c>
      <c r="L19" s="91">
        <v>0</v>
      </c>
      <c r="M19" s="557">
        <v>1000</v>
      </c>
      <c r="N19" s="91">
        <v>395.5</v>
      </c>
      <c r="O19" s="91">
        <f t="shared" si="2"/>
        <v>395.5</v>
      </c>
      <c r="P19" s="128">
        <f>K19+L19-O19-M19</f>
        <v>3225.5</v>
      </c>
      <c r="Q19" s="129"/>
      <c r="R19" s="130" t="s">
        <v>686</v>
      </c>
      <c r="S19" s="576" t="s">
        <v>764</v>
      </c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88</v>
      </c>
      <c r="F20" s="3" t="s">
        <v>212</v>
      </c>
      <c r="G20" s="388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613</v>
      </c>
      <c r="F21" s="3" t="s">
        <v>212</v>
      </c>
      <c r="G21" s="388">
        <f t="shared" si="5"/>
        <v>4621</v>
      </c>
      <c r="H21" s="93">
        <v>15</v>
      </c>
      <c r="I21" s="91">
        <f t="shared" si="0"/>
        <v>4621</v>
      </c>
      <c r="J21" s="91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8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130"/>
      <c r="U22" s="130"/>
      <c r="V22" s="131"/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8">
        <f t="shared" si="5"/>
        <v>4621</v>
      </c>
      <c r="H23" s="93">
        <v>15</v>
      </c>
      <c r="I23" s="91">
        <f t="shared" si="0"/>
        <v>4621</v>
      </c>
      <c r="J23" s="136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R23" s="130"/>
      <c r="S23" s="130"/>
      <c r="T23" s="273">
        <v>10</v>
      </c>
      <c r="U23" s="274">
        <f>I23/15*T23</f>
        <v>3080.6666666666665</v>
      </c>
      <c r="V23" s="131">
        <f>U23</f>
        <v>3080.6666666666665</v>
      </c>
    </row>
    <row r="24" spans="2:22" s="132" customFormat="1" ht="30" customHeight="1">
      <c r="B24" s="89">
        <f t="shared" si="4"/>
        <v>13</v>
      </c>
      <c r="C24" s="89"/>
      <c r="D24" s="89"/>
      <c r="E24" s="80" t="s">
        <v>219</v>
      </c>
      <c r="F24" s="3" t="s">
        <v>212</v>
      </c>
      <c r="G24" s="388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/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144" t="s">
        <v>292</v>
      </c>
      <c r="F25" s="3" t="s">
        <v>212</v>
      </c>
      <c r="G25" s="388">
        <f t="shared" si="5"/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3"/>
        <v>4225.5</v>
      </c>
      <c r="Q25" s="129"/>
      <c r="T25" s="130" t="s">
        <v>293</v>
      </c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5" t="s">
        <v>720</v>
      </c>
      <c r="F26" s="3" t="s">
        <v>212</v>
      </c>
      <c r="G26" s="388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/>
      <c r="M26" s="91"/>
      <c r="N26" s="91">
        <v>395.5</v>
      </c>
      <c r="O26" s="91">
        <f t="shared" si="2"/>
        <v>395.5</v>
      </c>
      <c r="P26" s="128">
        <f>K26-O26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555" t="s">
        <v>711</v>
      </c>
      <c r="F27" s="3" t="s">
        <v>212</v>
      </c>
      <c r="G27" s="388"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3"/>
        <v>4225.5</v>
      </c>
      <c r="Q27" s="129"/>
      <c r="R27" s="132" t="s">
        <v>712</v>
      </c>
      <c r="S27" s="132" t="s">
        <v>765</v>
      </c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0" t="s">
        <v>291</v>
      </c>
      <c r="F28" s="3" t="s">
        <v>134</v>
      </c>
      <c r="G28" s="388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557">
        <v>2000</v>
      </c>
      <c r="N28" s="91">
        <v>395.5</v>
      </c>
      <c r="O28" s="91">
        <f t="shared" si="2"/>
        <v>395.5</v>
      </c>
      <c r="P28" s="128">
        <f>4225.5-M28</f>
        <v>2225.5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89"/>
      <c r="D29" s="89"/>
      <c r="E29" s="89" t="s">
        <v>297</v>
      </c>
      <c r="F29" s="3" t="s">
        <v>212</v>
      </c>
      <c r="G29" s="388">
        <f>9242/2</f>
        <v>4621</v>
      </c>
      <c r="H29" s="93">
        <v>15</v>
      </c>
      <c r="I29" s="91">
        <f t="shared" si="0"/>
        <v>4621</v>
      </c>
      <c r="J29" s="91"/>
      <c r="K29" s="91">
        <f t="shared" si="1"/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T29" s="130"/>
      <c r="U29" s="130"/>
      <c r="V29" s="131"/>
    </row>
    <row r="30" spans="2:22" s="132" customFormat="1" ht="30" customHeight="1">
      <c r="B30" s="89">
        <f t="shared" si="4"/>
        <v>19</v>
      </c>
      <c r="C30" s="237"/>
      <c r="D30" s="237"/>
      <c r="E30" s="237" t="s">
        <v>713</v>
      </c>
      <c r="F30" s="137" t="s">
        <v>212</v>
      </c>
      <c r="G30" s="390">
        <f>4621/15</f>
        <v>308.06666666666666</v>
      </c>
      <c r="H30" s="138">
        <v>15</v>
      </c>
      <c r="I30" s="136">
        <f>G30*H30</f>
        <v>4621</v>
      </c>
      <c r="J30" s="136"/>
      <c r="K30" s="136">
        <f t="shared" ref="K30:K33" si="6">I30</f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714</v>
      </c>
      <c r="S30" s="132" t="s">
        <v>766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96"/>
      <c r="D31" s="96"/>
      <c r="E31" s="96" t="s">
        <v>651</v>
      </c>
      <c r="F31" s="286" t="s">
        <v>212</v>
      </c>
      <c r="G31" s="391">
        <f>9242/2</f>
        <v>4621</v>
      </c>
      <c r="H31" s="319">
        <v>15</v>
      </c>
      <c r="I31" s="99">
        <f>G31</f>
        <v>4621</v>
      </c>
      <c r="J31" s="99"/>
      <c r="K31" s="99">
        <f t="shared" si="6"/>
        <v>4621</v>
      </c>
      <c r="L31" s="82">
        <v>0</v>
      </c>
      <c r="M31" s="82"/>
      <c r="N31" s="82">
        <v>395.5</v>
      </c>
      <c r="O31" s="82">
        <f t="shared" si="2"/>
        <v>395.5</v>
      </c>
      <c r="P31" s="84">
        <f>K31-O31-M31</f>
        <v>4225.5</v>
      </c>
      <c r="Q31" s="129"/>
      <c r="R31" s="132" t="s">
        <v>652</v>
      </c>
      <c r="S31" s="577" t="s">
        <v>767</v>
      </c>
      <c r="T31" s="130"/>
      <c r="U31" s="130"/>
      <c r="V31" s="131"/>
    </row>
    <row r="32" spans="2:22" s="132" customFormat="1" ht="30" customHeight="1">
      <c r="B32" s="89">
        <f t="shared" si="4"/>
        <v>21</v>
      </c>
      <c r="C32" s="237"/>
      <c r="D32" s="237"/>
      <c r="E32" s="237" t="s">
        <v>683</v>
      </c>
      <c r="F32" s="137" t="s">
        <v>212</v>
      </c>
      <c r="G32" s="390">
        <f>9242/2</f>
        <v>4621</v>
      </c>
      <c r="H32" s="138">
        <v>15</v>
      </c>
      <c r="I32" s="136">
        <f>G32</f>
        <v>4621</v>
      </c>
      <c r="J32" s="136"/>
      <c r="K32" s="136">
        <f t="shared" si="6"/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K32-O32-M32</f>
        <v>4225.5</v>
      </c>
      <c r="Q32" s="129"/>
      <c r="S32" s="578" t="s">
        <v>768</v>
      </c>
      <c r="T32" s="130"/>
      <c r="U32" s="130"/>
      <c r="V32" s="131"/>
    </row>
    <row r="33" spans="2:22" s="132" customFormat="1" ht="30" customHeight="1">
      <c r="B33" s="89">
        <f t="shared" si="4"/>
        <v>22</v>
      </c>
      <c r="C33" s="237"/>
      <c r="D33" s="237"/>
      <c r="E33" s="237" t="s">
        <v>715</v>
      </c>
      <c r="F33" s="137" t="s">
        <v>212</v>
      </c>
      <c r="G33" s="390">
        <v>308.07</v>
      </c>
      <c r="H33" s="138">
        <v>15</v>
      </c>
      <c r="I33" s="136">
        <f>G33*H33</f>
        <v>4621.05</v>
      </c>
      <c r="J33" s="136"/>
      <c r="K33" s="136">
        <f t="shared" si="6"/>
        <v>4621.05</v>
      </c>
      <c r="L33" s="91"/>
      <c r="M33" s="91"/>
      <c r="N33" s="91">
        <v>395.5</v>
      </c>
      <c r="O33" s="91">
        <f t="shared" si="2"/>
        <v>395.5</v>
      </c>
      <c r="P33" s="128">
        <f>K33-O33-M33</f>
        <v>4225.55</v>
      </c>
      <c r="Q33" s="129"/>
      <c r="R33" s="132" t="s">
        <v>684</v>
      </c>
      <c r="S33" s="578" t="s">
        <v>768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735</v>
      </c>
      <c r="F34" s="137" t="s">
        <v>212</v>
      </c>
      <c r="G34" s="390"/>
      <c r="H34" s="138">
        <v>8</v>
      </c>
      <c r="I34" s="136">
        <v>2464.56</v>
      </c>
      <c r="J34" s="136"/>
      <c r="K34" s="136">
        <v>2464.56</v>
      </c>
      <c r="L34" s="91"/>
      <c r="M34" s="91"/>
      <c r="N34" s="91">
        <v>210.93</v>
      </c>
      <c r="O34" s="91">
        <f t="shared" si="2"/>
        <v>210.93</v>
      </c>
      <c r="P34" s="128">
        <v>4225.55</v>
      </c>
      <c r="Q34" s="129"/>
      <c r="R34" s="132" t="s">
        <v>736</v>
      </c>
      <c r="S34" s="132" t="s">
        <v>769</v>
      </c>
      <c r="T34" s="130"/>
      <c r="U34" s="130"/>
      <c r="V34" s="131"/>
    </row>
    <row r="35" spans="2:22" s="132" customFormat="1" ht="30" customHeight="1">
      <c r="B35" s="89">
        <v>24</v>
      </c>
      <c r="C35" s="89"/>
      <c r="D35" s="89"/>
      <c r="E35" s="89" t="s">
        <v>232</v>
      </c>
      <c r="F35" s="3" t="s">
        <v>233</v>
      </c>
      <c r="G35" s="392">
        <f>4592/2</f>
        <v>2296</v>
      </c>
      <c r="H35" s="93">
        <v>15</v>
      </c>
      <c r="I35" s="91">
        <f>G35</f>
        <v>2296</v>
      </c>
      <c r="J35" s="91"/>
      <c r="K35" s="91">
        <f t="shared" si="1"/>
        <v>2296</v>
      </c>
      <c r="L35" s="91">
        <v>43.13</v>
      </c>
      <c r="M35" s="91"/>
      <c r="N35" s="91"/>
      <c r="O35" s="91">
        <f t="shared" si="2"/>
        <v>0</v>
      </c>
      <c r="P35" s="128">
        <f t="shared" si="3"/>
        <v>2339.13</v>
      </c>
      <c r="Q35" s="363"/>
      <c r="T35" s="130"/>
      <c r="U35" s="130"/>
      <c r="V35" s="131"/>
    </row>
    <row r="36" spans="2:22" s="132" customFormat="1" ht="30" customHeight="1" thickBot="1">
      <c r="B36" s="19"/>
      <c r="C36" s="301" t="s">
        <v>50</v>
      </c>
      <c r="D36" s="301"/>
      <c r="E36" s="301"/>
      <c r="F36" s="301"/>
      <c r="G36" s="301"/>
      <c r="H36" s="301"/>
      <c r="I36" s="302">
        <f t="shared" ref="I36:P36" si="7">SUM(I12:I35)</f>
        <v>115560.61</v>
      </c>
      <c r="J36" s="302">
        <f t="shared" si="7"/>
        <v>0</v>
      </c>
      <c r="K36" s="302">
        <f t="shared" si="7"/>
        <v>115560.61</v>
      </c>
      <c r="L36" s="302">
        <f t="shared" si="7"/>
        <v>43.13</v>
      </c>
      <c r="M36" s="302">
        <f t="shared" si="7"/>
        <v>3000</v>
      </c>
      <c r="N36" s="302">
        <f t="shared" si="7"/>
        <v>10698.27</v>
      </c>
      <c r="O36" s="302">
        <f t="shared" si="7"/>
        <v>10698.27</v>
      </c>
      <c r="P36" s="303">
        <f t="shared" si="7"/>
        <v>103877.39000000001</v>
      </c>
      <c r="R36" s="131"/>
      <c r="S36" s="131"/>
    </row>
    <row r="37" spans="2:22" ht="12" thickTop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132"/>
      <c r="R37" s="132"/>
      <c r="S37" s="132"/>
      <c r="T37" s="132"/>
      <c r="U37" s="132"/>
      <c r="V37" s="132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236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 t="s">
        <v>28</v>
      </c>
      <c r="H41" s="139"/>
      <c r="I41" s="139"/>
      <c r="J41" s="139"/>
      <c r="K41" s="139"/>
      <c r="L41" s="139"/>
      <c r="M41" s="139"/>
      <c r="N41" s="141"/>
      <c r="O41" s="139"/>
      <c r="P41" s="142"/>
    </row>
    <row r="42" spans="2:22">
      <c r="G42" s="69"/>
      <c r="H42" s="69"/>
      <c r="I42" s="69"/>
      <c r="J42" s="69"/>
      <c r="K42" s="69"/>
      <c r="L42" s="69"/>
    </row>
    <row r="43" spans="2:22" ht="13.5" customHeight="1">
      <c r="B43" s="587" t="s">
        <v>470</v>
      </c>
      <c r="C43" s="587"/>
      <c r="D43" s="587"/>
      <c r="E43" s="587"/>
      <c r="F43" s="6"/>
      <c r="G43" s="602" t="s">
        <v>45</v>
      </c>
      <c r="H43" s="602"/>
      <c r="I43" s="602"/>
      <c r="J43" s="602"/>
      <c r="K43" s="602"/>
      <c r="L43" s="602"/>
      <c r="M43" s="322"/>
      <c r="N43" s="6"/>
      <c r="O43" s="602" t="s">
        <v>646</v>
      </c>
      <c r="P43" s="602"/>
      <c r="Q43" s="602"/>
    </row>
    <row r="44" spans="2:22" ht="12.75">
      <c r="B44" s="588" t="s">
        <v>150</v>
      </c>
      <c r="C44" s="588"/>
      <c r="D44" s="588"/>
      <c r="E44" s="588"/>
      <c r="F44" s="6"/>
      <c r="G44" s="6"/>
      <c r="H44" s="6" t="s">
        <v>151</v>
      </c>
      <c r="I44" s="6"/>
      <c r="J44" s="6"/>
      <c r="K44" s="6"/>
      <c r="L44" s="6"/>
      <c r="M44" s="6"/>
      <c r="N44" s="6" t="s">
        <v>152</v>
      </c>
      <c r="O44" s="588" t="s">
        <v>30</v>
      </c>
      <c r="P44" s="588"/>
      <c r="Q44" s="588"/>
    </row>
    <row r="45" spans="2:22">
      <c r="K45" s="143"/>
    </row>
    <row r="46" spans="2:22">
      <c r="P46" s="143"/>
    </row>
    <row r="47" spans="2:22">
      <c r="P47" s="143"/>
    </row>
    <row r="48" spans="2:22">
      <c r="P48" s="201"/>
    </row>
    <row r="52" spans="16:16">
      <c r="P52" s="299">
        <f>K36+L36-O36-M36</f>
        <v>101905.47</v>
      </c>
    </row>
    <row r="53" spans="16:16">
      <c r="P53" s="299">
        <f>P36-P52</f>
        <v>1971.9200000000128</v>
      </c>
    </row>
  </sheetData>
  <mergeCells count="11">
    <mergeCell ref="I8:K8"/>
    <mergeCell ref="N8:O8"/>
    <mergeCell ref="C9:E9"/>
    <mergeCell ref="B3:Q3"/>
    <mergeCell ref="B4:Q4"/>
    <mergeCell ref="Q8:Q10"/>
    <mergeCell ref="B43:E43"/>
    <mergeCell ref="O43:Q43"/>
    <mergeCell ref="B44:E44"/>
    <mergeCell ref="O44:Q44"/>
    <mergeCell ref="G43:L43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6"/>
  <sheetViews>
    <sheetView topLeftCell="A21" workbookViewId="0">
      <selection activeCell="R12" sqref="R12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7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1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6"/>
    </row>
    <row r="3" spans="2:17" s="61" customFormat="1" ht="19.5">
      <c r="B3" s="608" t="s">
        <v>222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2:17" s="61" customFormat="1" ht="17.25">
      <c r="B4" s="629" t="s">
        <v>753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2:17" s="61" customFormat="1" ht="12.75">
      <c r="B5" s="121"/>
      <c r="C5" s="120"/>
      <c r="D5" s="120"/>
      <c r="E5" s="120"/>
      <c r="F5" s="120"/>
      <c r="G5" s="120"/>
      <c r="H5" s="393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4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5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6"/>
      <c r="I8" s="149"/>
      <c r="J8" s="623" t="s">
        <v>60</v>
      </c>
      <c r="K8" s="624"/>
      <c r="L8" s="625"/>
      <c r="M8" s="151"/>
      <c r="N8" s="623" t="s">
        <v>61</v>
      </c>
      <c r="O8" s="626"/>
      <c r="P8" s="151"/>
      <c r="Q8" s="152"/>
    </row>
    <row r="9" spans="2:17" ht="18" customHeight="1">
      <c r="B9" s="493" t="s">
        <v>158</v>
      </c>
      <c r="C9" s="607" t="s">
        <v>52</v>
      </c>
      <c r="D9" s="607"/>
      <c r="E9" s="607"/>
      <c r="F9" s="494"/>
      <c r="G9" s="495"/>
      <c r="H9" s="496"/>
      <c r="I9" s="497" t="s">
        <v>63</v>
      </c>
      <c r="J9" s="498" t="s">
        <v>3</v>
      </c>
      <c r="K9" s="499" t="s">
        <v>65</v>
      </c>
      <c r="L9" s="500" t="s">
        <v>159</v>
      </c>
      <c r="M9" s="499"/>
      <c r="N9" s="632" t="s">
        <v>640</v>
      </c>
      <c r="O9" s="633"/>
      <c r="P9" s="501" t="s">
        <v>160</v>
      </c>
      <c r="Q9" s="630" t="s">
        <v>29</v>
      </c>
    </row>
    <row r="10" spans="2:17" ht="18" customHeight="1">
      <c r="B10" s="502" t="s">
        <v>161</v>
      </c>
      <c r="C10" s="503" t="s">
        <v>53</v>
      </c>
      <c r="D10" s="504" t="s">
        <v>54</v>
      </c>
      <c r="E10" s="504" t="s">
        <v>55</v>
      </c>
      <c r="F10" s="504" t="s">
        <v>56</v>
      </c>
      <c r="G10" s="505" t="s">
        <v>57</v>
      </c>
      <c r="H10" s="506"/>
      <c r="I10" s="504" t="s">
        <v>162</v>
      </c>
      <c r="J10" s="507" t="s">
        <v>163</v>
      </c>
      <c r="K10" s="508" t="s">
        <v>164</v>
      </c>
      <c r="L10" s="509" t="s">
        <v>165</v>
      </c>
      <c r="M10" s="508" t="s">
        <v>635</v>
      </c>
      <c r="N10" s="504" t="s">
        <v>75</v>
      </c>
      <c r="O10" s="504" t="s">
        <v>167</v>
      </c>
      <c r="P10" s="510" t="s">
        <v>168</v>
      </c>
      <c r="Q10" s="631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619</v>
      </c>
      <c r="G12" s="3" t="s">
        <v>173</v>
      </c>
      <c r="H12" s="398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8">
        <v>4621</v>
      </c>
      <c r="I13" s="3">
        <v>15</v>
      </c>
      <c r="J13" s="83">
        <f>H13</f>
        <v>4621</v>
      </c>
      <c r="K13" s="156"/>
      <c r="L13" s="82">
        <f t="shared" ref="L13:L26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6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8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8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5">
        <v>500</v>
      </c>
      <c r="N15" s="91">
        <v>395.5</v>
      </c>
      <c r="O15" s="82">
        <f t="shared" si="1"/>
        <v>395.5</v>
      </c>
      <c r="P15" s="158">
        <f>L15-M15-O15</f>
        <v>3725.5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8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8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8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8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8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8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157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8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8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133">
        <v>12</v>
      </c>
      <c r="C23" s="133"/>
      <c r="D23" s="133"/>
      <c r="E23" s="133"/>
      <c r="F23" s="133" t="s">
        <v>227</v>
      </c>
      <c r="G23" s="133"/>
      <c r="H23" s="389">
        <f>9242/2</f>
        <v>4621</v>
      </c>
      <c r="I23" s="133">
        <v>15</v>
      </c>
      <c r="J23" s="82"/>
      <c r="K23" s="336"/>
      <c r="L23" s="82">
        <f t="shared" si="0"/>
        <v>0</v>
      </c>
      <c r="M23" s="559"/>
      <c r="N23" s="82"/>
      <c r="O23" s="82">
        <f t="shared" si="1"/>
        <v>0</v>
      </c>
      <c r="P23" s="337">
        <f t="shared" si="2"/>
        <v>0</v>
      </c>
      <c r="Q23" s="159"/>
    </row>
    <row r="24" spans="2:17" ht="30" customHeight="1">
      <c r="B24" s="3">
        <v>13</v>
      </c>
      <c r="C24" s="3" t="s">
        <v>123</v>
      </c>
      <c r="D24" s="3" t="s">
        <v>228</v>
      </c>
      <c r="E24" s="133" t="s">
        <v>229</v>
      </c>
      <c r="F24" s="3" t="s">
        <v>172</v>
      </c>
      <c r="G24" s="3"/>
      <c r="H24" s="398">
        <f>9242/2</f>
        <v>4621</v>
      </c>
      <c r="I24" s="3">
        <v>15</v>
      </c>
      <c r="J24" s="83">
        <f>H24</f>
        <v>4621</v>
      </c>
      <c r="K24" s="160"/>
      <c r="L24" s="82">
        <f t="shared" si="0"/>
        <v>4621</v>
      </c>
      <c r="M24" s="157"/>
      <c r="N24" s="91">
        <v>395.5</v>
      </c>
      <c r="O24" s="82">
        <f t="shared" si="1"/>
        <v>395.5</v>
      </c>
      <c r="P24" s="158">
        <f t="shared" si="2"/>
        <v>4225.5</v>
      </c>
      <c r="Q24" s="159"/>
    </row>
    <row r="25" spans="2:17" ht="30" customHeight="1">
      <c r="B25" s="137">
        <v>14</v>
      </c>
      <c r="C25" s="137" t="s">
        <v>174</v>
      </c>
      <c r="D25" s="137" t="s">
        <v>230</v>
      </c>
      <c r="E25" s="286" t="s">
        <v>231</v>
      </c>
      <c r="F25" s="137" t="s">
        <v>172</v>
      </c>
      <c r="G25" s="137"/>
      <c r="H25" s="399">
        <f>9242/2</f>
        <v>4621</v>
      </c>
      <c r="I25" s="137">
        <v>15</v>
      </c>
      <c r="J25" s="287">
        <f>H25</f>
        <v>4621</v>
      </c>
      <c r="K25" s="160"/>
      <c r="L25" s="99">
        <f t="shared" si="0"/>
        <v>4621</v>
      </c>
      <c r="M25" s="157"/>
      <c r="N25" s="136">
        <v>395.5</v>
      </c>
      <c r="O25" s="99">
        <f t="shared" si="1"/>
        <v>395.5</v>
      </c>
      <c r="P25" s="158">
        <f t="shared" si="2"/>
        <v>4225.5</v>
      </c>
      <c r="Q25" s="155"/>
    </row>
    <row r="26" spans="2:17" ht="24.75" customHeight="1">
      <c r="B26" s="3">
        <v>15</v>
      </c>
      <c r="C26" s="161" t="s">
        <v>82</v>
      </c>
      <c r="D26" s="161" t="s">
        <v>87</v>
      </c>
      <c r="E26" s="161" t="s">
        <v>209</v>
      </c>
      <c r="F26" s="161" t="s">
        <v>172</v>
      </c>
      <c r="G26" s="161"/>
      <c r="H26" s="400">
        <f>9242/2</f>
        <v>4621</v>
      </c>
      <c r="I26" s="161">
        <v>15</v>
      </c>
      <c r="J26" s="156">
        <f>H26</f>
        <v>4621</v>
      </c>
      <c r="K26" s="290"/>
      <c r="L26" s="156">
        <f t="shared" si="0"/>
        <v>4621</v>
      </c>
      <c r="M26" s="290"/>
      <c r="N26" s="290">
        <v>395.5</v>
      </c>
      <c r="O26" s="82">
        <f t="shared" si="1"/>
        <v>395.5</v>
      </c>
      <c r="P26" s="158">
        <f t="shared" si="2"/>
        <v>4225.5</v>
      </c>
      <c r="Q26" s="161"/>
    </row>
    <row r="27" spans="2:17" ht="24.75" customHeight="1">
      <c r="B27" s="3">
        <v>16</v>
      </c>
      <c r="C27" s="161" t="s">
        <v>729</v>
      </c>
      <c r="D27" s="161" t="s">
        <v>113</v>
      </c>
      <c r="E27" s="161" t="s">
        <v>730</v>
      </c>
      <c r="F27" s="161" t="s">
        <v>172</v>
      </c>
      <c r="G27" s="161"/>
      <c r="H27" s="400"/>
      <c r="I27" s="161">
        <v>15</v>
      </c>
      <c r="J27" s="156">
        <v>4621</v>
      </c>
      <c r="K27" s="290"/>
      <c r="L27" s="156">
        <v>4621</v>
      </c>
      <c r="M27" s="290"/>
      <c r="N27" s="290">
        <v>395.5</v>
      </c>
      <c r="O27" s="82">
        <f t="shared" si="1"/>
        <v>395.5</v>
      </c>
      <c r="P27" s="90">
        <f>L27-O27</f>
        <v>4225.5</v>
      </c>
      <c r="Q27" s="161"/>
    </row>
    <row r="28" spans="2:17" ht="22.5" customHeight="1" thickBot="1">
      <c r="B28" s="627" t="s">
        <v>50</v>
      </c>
      <c r="C28" s="628"/>
      <c r="D28" s="628"/>
      <c r="E28" s="628"/>
      <c r="F28" s="628"/>
      <c r="G28" s="628"/>
      <c r="H28" s="628"/>
      <c r="I28" s="628"/>
      <c r="J28" s="288">
        <f>SUM(J12:J27)</f>
        <v>71448</v>
      </c>
      <c r="K28" s="288">
        <f t="shared" ref="K28" si="5">SUM(K12:K26)</f>
        <v>0</v>
      </c>
      <c r="L28" s="288">
        <f>SUM(L12:L27)</f>
        <v>71448</v>
      </c>
      <c r="M28" s="288">
        <f>SUM(M12:M26)</f>
        <v>500</v>
      </c>
      <c r="N28" s="288">
        <f>SUM(N12:N27)</f>
        <v>6332.93</v>
      </c>
      <c r="O28" s="288">
        <f>SUM(O12:O27)</f>
        <v>6332.93</v>
      </c>
      <c r="P28" s="289">
        <f>SUM(P12:P27)</f>
        <v>64615.07</v>
      </c>
      <c r="Q28" s="162"/>
    </row>
    <row r="29" spans="2:17" ht="22.5" customHeight="1" thickTop="1">
      <c r="B29" s="163"/>
      <c r="C29" s="163"/>
      <c r="D29" s="163"/>
      <c r="E29" s="163"/>
      <c r="F29" s="163"/>
      <c r="G29" s="163"/>
      <c r="H29" s="401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7" ht="22.5" customHeight="1">
      <c r="B30" s="163"/>
      <c r="C30" s="163"/>
      <c r="D30" s="163"/>
      <c r="E30" s="163"/>
      <c r="F30" s="163"/>
      <c r="G30" s="163"/>
      <c r="H30" s="401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7" ht="22.5" customHeight="1">
      <c r="B31" s="167"/>
      <c r="C31" s="167"/>
      <c r="D31" s="167"/>
      <c r="E31" s="167"/>
      <c r="F31" s="163"/>
      <c r="G31" s="163"/>
      <c r="H31" s="401"/>
      <c r="I31" s="620"/>
      <c r="J31" s="620"/>
      <c r="K31" s="620"/>
      <c r="L31" s="620"/>
      <c r="M31" s="620"/>
      <c r="N31" s="164"/>
      <c r="O31" s="618"/>
      <c r="P31" s="618"/>
      <c r="Q31" s="618"/>
    </row>
    <row r="32" spans="2:17" ht="15" customHeight="1">
      <c r="B32" s="617" t="s">
        <v>470</v>
      </c>
      <c r="C32" s="617"/>
      <c r="D32" s="617"/>
      <c r="E32" s="617"/>
      <c r="F32" s="166"/>
      <c r="G32" s="166"/>
      <c r="H32" s="402"/>
      <c r="I32" s="617" t="s">
        <v>45</v>
      </c>
      <c r="J32" s="617"/>
      <c r="K32" s="617"/>
      <c r="L32" s="617"/>
      <c r="M32" s="617"/>
      <c r="O32" s="617" t="s">
        <v>646</v>
      </c>
      <c r="P32" s="617"/>
      <c r="Q32" s="617"/>
    </row>
    <row r="33" spans="2:17" ht="12.75">
      <c r="B33" s="617" t="s">
        <v>150</v>
      </c>
      <c r="C33" s="617"/>
      <c r="D33" s="617"/>
      <c r="E33" s="617"/>
      <c r="F33" s="166"/>
      <c r="I33" s="617" t="s">
        <v>151</v>
      </c>
      <c r="J33" s="617"/>
      <c r="K33" s="617"/>
      <c r="L33" s="617"/>
      <c r="M33" s="617"/>
      <c r="O33" s="619" t="s">
        <v>739</v>
      </c>
      <c r="P33" s="619"/>
      <c r="Q33" s="619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64615.07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2" workbookViewId="0">
      <selection activeCell="O21" sqref="O21"/>
    </sheetView>
  </sheetViews>
  <sheetFormatPr baseColWidth="10" defaultRowHeight="12.75"/>
  <cols>
    <col min="1" max="1" width="3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4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3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8" t="s">
        <v>222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40"/>
    </row>
    <row r="4" spans="2:21" ht="17.25">
      <c r="B4" s="611" t="s">
        <v>754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2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596</v>
      </c>
      <c r="D6" s="280"/>
      <c r="E6" s="73"/>
      <c r="F6" s="73"/>
      <c r="G6" s="73"/>
      <c r="H6" s="73"/>
      <c r="I6" s="73"/>
      <c r="J6" s="405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2" t="s">
        <v>59</v>
      </c>
      <c r="C7" s="433"/>
      <c r="D7" s="433"/>
      <c r="E7" s="433"/>
      <c r="F7" s="635"/>
      <c r="G7" s="635"/>
      <c r="H7" s="635"/>
      <c r="I7" s="434"/>
      <c r="J7" s="435"/>
      <c r="K7" s="634" t="s">
        <v>60</v>
      </c>
      <c r="L7" s="634"/>
      <c r="M7" s="634"/>
      <c r="N7" s="634"/>
      <c r="O7" s="634"/>
      <c r="P7" s="636" t="s">
        <v>61</v>
      </c>
      <c r="Q7" s="637"/>
      <c r="R7" s="436"/>
      <c r="S7" s="643" t="s">
        <v>29</v>
      </c>
    </row>
    <row r="8" spans="2:21">
      <c r="B8" s="437" t="s">
        <v>62</v>
      </c>
      <c r="C8" s="438" t="s">
        <v>52</v>
      </c>
      <c r="D8" s="439"/>
      <c r="E8" s="439"/>
      <c r="F8" s="440"/>
      <c r="G8" s="441"/>
      <c r="H8" s="442" t="s">
        <v>63</v>
      </c>
      <c r="I8" s="442"/>
      <c r="J8" s="443"/>
      <c r="K8" s="444" t="s">
        <v>64</v>
      </c>
      <c r="L8" s="445" t="s">
        <v>65</v>
      </c>
      <c r="M8" s="444" t="s">
        <v>66</v>
      </c>
      <c r="N8" s="444" t="s">
        <v>67</v>
      </c>
      <c r="O8" s="444"/>
      <c r="P8" s="444"/>
      <c r="Q8" s="444" t="s">
        <v>68</v>
      </c>
      <c r="R8" s="446"/>
      <c r="S8" s="644"/>
    </row>
    <row r="9" spans="2:21">
      <c r="B9" s="447" t="s">
        <v>69</v>
      </c>
      <c r="C9" s="448" t="s">
        <v>53</v>
      </c>
      <c r="D9" s="448" t="s">
        <v>54</v>
      </c>
      <c r="E9" s="448" t="s">
        <v>55</v>
      </c>
      <c r="F9" s="448" t="s">
        <v>56</v>
      </c>
      <c r="G9" s="449" t="s">
        <v>57</v>
      </c>
      <c r="H9" s="450" t="s">
        <v>70</v>
      </c>
      <c r="I9" s="450"/>
      <c r="J9" s="451"/>
      <c r="K9" s="452" t="s">
        <v>71</v>
      </c>
      <c r="L9" s="453" t="s">
        <v>72</v>
      </c>
      <c r="M9" s="452" t="s">
        <v>73</v>
      </c>
      <c r="N9" s="452" t="s">
        <v>74</v>
      </c>
      <c r="O9" s="452" t="s">
        <v>635</v>
      </c>
      <c r="P9" s="452" t="s">
        <v>75</v>
      </c>
      <c r="Q9" s="452" t="s">
        <v>76</v>
      </c>
      <c r="R9" s="454" t="s">
        <v>77</v>
      </c>
      <c r="S9" s="645"/>
    </row>
    <row r="10" spans="2:21">
      <c r="B10" s="114"/>
      <c r="C10" s="76"/>
      <c r="D10" s="76"/>
      <c r="E10" s="76"/>
      <c r="F10" s="76"/>
      <c r="G10" s="76"/>
      <c r="H10" s="76"/>
      <c r="I10" s="76"/>
      <c r="J10" s="406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7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7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7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7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8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220</v>
      </c>
      <c r="E16" s="7" t="s">
        <v>225</v>
      </c>
      <c r="F16" s="7" t="s">
        <v>81</v>
      </c>
      <c r="G16" s="79"/>
      <c r="H16" s="80">
        <v>15</v>
      </c>
      <c r="I16" s="81">
        <f t="shared" si="1"/>
        <v>257.40933333333334</v>
      </c>
      <c r="J16" s="407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7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7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7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8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628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7">
        <f>6006/2</f>
        <v>3003</v>
      </c>
      <c r="K21" s="56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9">
        <f>5166/2</f>
        <v>2583</v>
      </c>
      <c r="K22" s="56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10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280</v>
      </c>
      <c r="G24" s="80"/>
      <c r="H24" s="80">
        <v>15</v>
      </c>
      <c r="I24" s="100">
        <f t="shared" si="5"/>
        <v>142.93333333333334</v>
      </c>
      <c r="J24" s="410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10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10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298</v>
      </c>
      <c r="D27" s="2" t="s">
        <v>181</v>
      </c>
      <c r="E27" s="2" t="s">
        <v>299</v>
      </c>
      <c r="F27" s="116" t="s">
        <v>279</v>
      </c>
      <c r="G27" s="80"/>
      <c r="H27" s="80">
        <v>15</v>
      </c>
      <c r="I27" s="100">
        <f t="shared" si="5"/>
        <v>279.2</v>
      </c>
      <c r="J27" s="410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10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10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10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10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10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11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10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6" t="s">
        <v>58</v>
      </c>
      <c r="C35" s="647"/>
      <c r="D35" s="647"/>
      <c r="E35" s="647"/>
      <c r="F35" s="648"/>
      <c r="G35" s="103"/>
      <c r="H35" s="105"/>
      <c r="I35" s="104"/>
      <c r="J35" s="412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6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3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02" t="s">
        <v>738</v>
      </c>
      <c r="C38" s="602"/>
      <c r="D38" s="602"/>
      <c r="E38" s="602"/>
      <c r="F38" s="76"/>
      <c r="G38" s="76"/>
      <c r="H38" s="76"/>
      <c r="I38" s="76"/>
      <c r="J38" s="406"/>
      <c r="K38" s="77"/>
      <c r="L38" s="77"/>
      <c r="M38" s="77"/>
      <c r="N38" s="77"/>
      <c r="O38" s="322"/>
      <c r="P38" s="602" t="s">
        <v>646</v>
      </c>
      <c r="Q38" s="602"/>
      <c r="R38" s="602"/>
      <c r="S38" s="76"/>
    </row>
    <row r="39" spans="1:21" ht="15" customHeight="1">
      <c r="A39" s="76"/>
      <c r="B39" s="588" t="s">
        <v>737</v>
      </c>
      <c r="C39" s="588"/>
      <c r="D39" s="588"/>
      <c r="E39" s="588"/>
      <c r="F39" s="588" t="s">
        <v>151</v>
      </c>
      <c r="G39" s="588"/>
      <c r="H39" s="588"/>
      <c r="I39" s="588"/>
      <c r="J39" s="588"/>
      <c r="K39" s="588"/>
      <c r="L39" s="588"/>
      <c r="M39" s="588"/>
      <c r="N39" s="6"/>
      <c r="O39" s="6"/>
      <c r="P39" s="588" t="s">
        <v>30</v>
      </c>
      <c r="Q39" s="588"/>
      <c r="R39" s="588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6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88"/>
      <c r="G52" s="588"/>
      <c r="H52" s="588"/>
      <c r="I52" s="588"/>
      <c r="J52" s="588"/>
      <c r="K52" s="588"/>
      <c r="L52" s="588"/>
      <c r="M52" s="588"/>
      <c r="N52" s="588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24" sqref="C24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0" t="s">
        <v>728</v>
      </c>
      <c r="B2" s="650"/>
    </row>
    <row r="3" spans="1:3" ht="7.5" customHeight="1">
      <c r="A3" s="261"/>
      <c r="B3" s="261"/>
    </row>
    <row r="4" spans="1:3">
      <c r="A4" s="649" t="s">
        <v>597</v>
      </c>
      <c r="B4" s="649"/>
    </row>
    <row r="6" spans="1:3">
      <c r="A6" s="183" t="s">
        <v>294</v>
      </c>
      <c r="B6" s="183" t="s">
        <v>295</v>
      </c>
      <c r="C6" s="183" t="s">
        <v>296</v>
      </c>
    </row>
    <row r="7" spans="1:3">
      <c r="A7" s="183"/>
      <c r="B7" s="183"/>
      <c r="C7" s="184"/>
    </row>
    <row r="8" spans="1:3">
      <c r="A8" s="183" t="s">
        <v>626</v>
      </c>
      <c r="B8" s="183" t="s">
        <v>314</v>
      </c>
      <c r="C8" s="184">
        <v>1312.5</v>
      </c>
    </row>
    <row r="9" spans="1:3">
      <c r="A9" s="183" t="s">
        <v>695</v>
      </c>
      <c r="B9" s="183" t="s">
        <v>696</v>
      </c>
      <c r="C9" s="184">
        <v>1902.6</v>
      </c>
    </row>
    <row r="10" spans="1:3">
      <c r="A10" s="183"/>
      <c r="B10" s="183"/>
      <c r="C10" s="184"/>
    </row>
    <row r="11" spans="1:3">
      <c r="A11" s="183"/>
      <c r="B11" s="183"/>
      <c r="C11" s="184"/>
    </row>
    <row r="12" spans="1:3">
      <c r="C12" s="188">
        <f>SUM(C7:C11)</f>
        <v>3215.1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1"/>
  <sheetViews>
    <sheetView topLeftCell="A51" zoomScale="91" zoomScaleNormal="91" workbookViewId="0">
      <selection activeCell="I66" sqref="I66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36.42578125" customWidth="1"/>
    <col min="6" max="6" width="29.42578125" customWidth="1"/>
    <col min="7" max="7" width="0.42578125" hidden="1" customWidth="1"/>
    <col min="8" max="8" width="0.28515625" style="414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1" t="s">
        <v>607</v>
      </c>
      <c r="D2" s="651"/>
      <c r="E2" s="651"/>
      <c r="F2" s="651"/>
      <c r="G2" s="651"/>
      <c r="H2" s="651"/>
      <c r="I2" s="651"/>
      <c r="J2" s="651"/>
      <c r="K2" s="651"/>
      <c r="L2" s="651"/>
    </row>
    <row r="3" spans="2:14" ht="18.75">
      <c r="C3" s="651" t="s">
        <v>630</v>
      </c>
      <c r="D3" s="651"/>
      <c r="E3" s="651"/>
      <c r="F3" s="651"/>
      <c r="G3" s="651"/>
      <c r="H3" s="651"/>
      <c r="I3" s="651"/>
      <c r="J3" s="651"/>
      <c r="K3" s="651"/>
      <c r="L3" s="651"/>
    </row>
    <row r="4" spans="2:14" ht="8.25" customHeight="1">
      <c r="C4" s="255"/>
      <c r="D4" s="255"/>
      <c r="E4" s="255"/>
      <c r="F4" s="255"/>
      <c r="G4" s="256"/>
      <c r="H4" s="415"/>
      <c r="I4" s="329"/>
      <c r="J4" s="329"/>
    </row>
    <row r="5" spans="2:14" ht="18.75">
      <c r="C5" s="256"/>
      <c r="D5" s="651" t="s">
        <v>756</v>
      </c>
      <c r="E5" s="651"/>
      <c r="F5" s="651"/>
      <c r="G5" s="651"/>
      <c r="H5" s="651"/>
      <c r="I5" s="651"/>
      <c r="J5" s="651"/>
      <c r="K5" s="257"/>
      <c r="L5" s="258"/>
    </row>
    <row r="7" spans="2:14">
      <c r="B7" s="423"/>
      <c r="C7" s="516" t="s">
        <v>294</v>
      </c>
      <c r="D7" s="516" t="s">
        <v>57</v>
      </c>
      <c r="E7" s="516" t="s">
        <v>503</v>
      </c>
      <c r="F7" s="516" t="s">
        <v>504</v>
      </c>
      <c r="G7" s="516"/>
      <c r="H7" s="517"/>
      <c r="I7" s="518" t="s">
        <v>296</v>
      </c>
      <c r="J7" s="518" t="s">
        <v>641</v>
      </c>
      <c r="K7" s="518" t="s">
        <v>578</v>
      </c>
      <c r="L7" s="516" t="s">
        <v>29</v>
      </c>
    </row>
    <row r="9" spans="2:14" ht="30" customHeight="1">
      <c r="B9" s="183">
        <v>1</v>
      </c>
      <c r="C9" s="183" t="s">
        <v>300</v>
      </c>
      <c r="D9" s="183" t="s">
        <v>505</v>
      </c>
      <c r="E9" s="183" t="s">
        <v>506</v>
      </c>
      <c r="F9" s="183" t="s">
        <v>507</v>
      </c>
      <c r="G9" s="183">
        <f>G5</f>
        <v>0</v>
      </c>
      <c r="H9" s="416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301</v>
      </c>
      <c r="D10" s="183"/>
      <c r="E10" s="183" t="s">
        <v>508</v>
      </c>
      <c r="F10" s="183" t="s">
        <v>509</v>
      </c>
      <c r="G10" s="183">
        <f>G9</f>
        <v>0</v>
      </c>
      <c r="H10" s="416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487</v>
      </c>
      <c r="D11" s="183" t="s">
        <v>579</v>
      </c>
      <c r="E11" s="183" t="s">
        <v>594</v>
      </c>
      <c r="F11" s="183"/>
      <c r="G11" s="183">
        <f>G10</f>
        <v>0</v>
      </c>
      <c r="H11" s="416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302</v>
      </c>
      <c r="D12" s="183" t="s">
        <v>510</v>
      </c>
      <c r="E12" s="183" t="s">
        <v>511</v>
      </c>
      <c r="F12" s="183" t="s">
        <v>512</v>
      </c>
      <c r="G12" s="183">
        <f t="shared" ref="G12:G45" si="3">G11</f>
        <v>0</v>
      </c>
      <c r="H12" s="417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726</v>
      </c>
      <c r="D13" s="183" t="s">
        <v>513</v>
      </c>
      <c r="E13" s="183" t="s">
        <v>514</v>
      </c>
      <c r="F13" s="183" t="s">
        <v>515</v>
      </c>
      <c r="G13" s="183">
        <f>G58</f>
        <v>0</v>
      </c>
      <c r="H13" s="417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727</v>
      </c>
      <c r="N13" t="s">
        <v>770</v>
      </c>
    </row>
    <row r="14" spans="2:14" ht="30" customHeight="1">
      <c r="B14" s="183">
        <f t="shared" si="2"/>
        <v>6</v>
      </c>
      <c r="C14" s="183" t="s">
        <v>516</v>
      </c>
      <c r="D14" s="183"/>
      <c r="E14" s="183" t="s">
        <v>517</v>
      </c>
      <c r="F14" s="183" t="s">
        <v>512</v>
      </c>
      <c r="G14" s="183">
        <f t="shared" si="3"/>
        <v>0</v>
      </c>
      <c r="H14" s="417">
        <f>7720/2</f>
        <v>3860</v>
      </c>
      <c r="I14" s="330">
        <f t="shared" si="0"/>
        <v>3860</v>
      </c>
      <c r="J14" s="358">
        <v>500</v>
      </c>
      <c r="K14" s="259">
        <f t="shared" si="1"/>
        <v>3360</v>
      </c>
      <c r="L14" s="183"/>
    </row>
    <row r="15" spans="2:14" ht="30" customHeight="1">
      <c r="B15" s="183">
        <f t="shared" si="2"/>
        <v>7</v>
      </c>
      <c r="C15" s="183" t="s">
        <v>303</v>
      </c>
      <c r="D15" s="183" t="s">
        <v>518</v>
      </c>
      <c r="E15" s="183" t="s">
        <v>519</v>
      </c>
      <c r="F15" s="183" t="s">
        <v>512</v>
      </c>
      <c r="G15" s="183">
        <f t="shared" si="3"/>
        <v>0</v>
      </c>
      <c r="H15" s="417">
        <v>3543</v>
      </c>
      <c r="I15" s="330">
        <v>3543</v>
      </c>
      <c r="J15" s="330"/>
      <c r="K15" s="259">
        <f>I15-J15</f>
        <v>3543</v>
      </c>
      <c r="L15" s="183"/>
    </row>
    <row r="16" spans="2:14" ht="30" customHeight="1">
      <c r="B16" s="183">
        <f t="shared" si="2"/>
        <v>8</v>
      </c>
      <c r="C16" s="183" t="s">
        <v>304</v>
      </c>
      <c r="D16" s="183" t="s">
        <v>520</v>
      </c>
      <c r="E16" s="183" t="s">
        <v>521</v>
      </c>
      <c r="F16" s="183" t="s">
        <v>522</v>
      </c>
      <c r="G16" s="183">
        <f t="shared" si="3"/>
        <v>0</v>
      </c>
      <c r="H16" s="416">
        <f>6608/2</f>
        <v>3304</v>
      </c>
      <c r="I16" s="328">
        <f t="shared" ref="I16:I45" si="4">H16</f>
        <v>3304</v>
      </c>
      <c r="J16" s="328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488</v>
      </c>
      <c r="D17" s="183" t="s">
        <v>523</v>
      </c>
      <c r="E17" s="183" t="s">
        <v>524</v>
      </c>
      <c r="F17" s="183" t="s">
        <v>512</v>
      </c>
      <c r="G17" s="183">
        <f t="shared" si="3"/>
        <v>0</v>
      </c>
      <c r="H17" s="416">
        <f>3510/2</f>
        <v>1755</v>
      </c>
      <c r="I17" s="328">
        <f t="shared" si="4"/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305</v>
      </c>
      <c r="D18" s="183"/>
      <c r="E18" s="183" t="s">
        <v>525</v>
      </c>
      <c r="F18" s="183"/>
      <c r="G18" s="183">
        <f>G60</f>
        <v>0</v>
      </c>
      <c r="H18" s="416">
        <f>6240/2</f>
        <v>3120</v>
      </c>
      <c r="I18" s="328">
        <f t="shared" si="4"/>
        <v>3120</v>
      </c>
      <c r="J18" s="328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306</v>
      </c>
      <c r="D19" s="183" t="s">
        <v>526</v>
      </c>
      <c r="E19" s="183" t="s">
        <v>527</v>
      </c>
      <c r="F19" s="260" t="s">
        <v>740</v>
      </c>
      <c r="G19" s="183">
        <f t="shared" si="3"/>
        <v>0</v>
      </c>
      <c r="H19" s="416">
        <f>6128/2</f>
        <v>3064</v>
      </c>
      <c r="I19" s="328">
        <f t="shared" si="4"/>
        <v>3064</v>
      </c>
      <c r="J19" s="358">
        <v>500</v>
      </c>
      <c r="K19" s="259">
        <f t="shared" si="1"/>
        <v>2564</v>
      </c>
      <c r="L19" s="183"/>
    </row>
    <row r="20" spans="2:14" ht="30" customHeight="1">
      <c r="B20" s="183">
        <f t="shared" si="2"/>
        <v>12</v>
      </c>
      <c r="C20" s="183" t="s">
        <v>307</v>
      </c>
      <c r="D20" s="183"/>
      <c r="E20" s="183" t="s">
        <v>528</v>
      </c>
      <c r="F20" s="183" t="s">
        <v>512</v>
      </c>
      <c r="G20" s="183">
        <f t="shared" si="3"/>
        <v>0</v>
      </c>
      <c r="H20" s="416">
        <f>7330/2</f>
        <v>3665</v>
      </c>
      <c r="I20" s="328">
        <f t="shared" si="4"/>
        <v>3665</v>
      </c>
      <c r="J20" s="328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308</v>
      </c>
      <c r="D21" s="183" t="s">
        <v>529</v>
      </c>
      <c r="E21" s="183" t="s">
        <v>506</v>
      </c>
      <c r="F21" s="183"/>
      <c r="G21" s="183">
        <f t="shared" si="3"/>
        <v>0</v>
      </c>
      <c r="H21" s="416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530</v>
      </c>
      <c r="D22" s="183" t="s">
        <v>531</v>
      </c>
      <c r="E22" s="183" t="s">
        <v>532</v>
      </c>
      <c r="F22" s="183" t="s">
        <v>512</v>
      </c>
      <c r="G22" s="183" t="e">
        <f>#REF!</f>
        <v>#REF!</v>
      </c>
      <c r="H22" s="416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309</v>
      </c>
      <c r="D23" s="183" t="s">
        <v>533</v>
      </c>
      <c r="E23" s="183" t="s">
        <v>534</v>
      </c>
      <c r="F23" s="183"/>
      <c r="G23" s="183" t="e">
        <f>G22</f>
        <v>#REF!</v>
      </c>
      <c r="H23" s="416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310</v>
      </c>
      <c r="D24" s="183" t="s">
        <v>535</v>
      </c>
      <c r="E24" s="183" t="s">
        <v>536</v>
      </c>
      <c r="F24" s="183" t="s">
        <v>537</v>
      </c>
      <c r="G24" s="183" t="e">
        <f t="shared" si="3"/>
        <v>#REF!</v>
      </c>
      <c r="H24" s="416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311</v>
      </c>
      <c r="D25" s="183" t="s">
        <v>538</v>
      </c>
      <c r="E25" s="183" t="s">
        <v>595</v>
      </c>
      <c r="F25" s="183"/>
      <c r="G25" s="183" t="e">
        <f t="shared" si="3"/>
        <v>#REF!</v>
      </c>
      <c r="H25" s="417">
        <f>6240/2</f>
        <v>3120</v>
      </c>
      <c r="I25" s="330">
        <v>3120</v>
      </c>
      <c r="J25" s="330"/>
      <c r="K25" s="259">
        <f t="shared" si="1"/>
        <v>3120</v>
      </c>
      <c r="L25" s="183"/>
      <c r="M25" s="556"/>
    </row>
    <row r="26" spans="2:14" ht="30" customHeight="1">
      <c r="B26" s="183">
        <f t="shared" si="2"/>
        <v>18</v>
      </c>
      <c r="C26" s="183" t="s">
        <v>312</v>
      </c>
      <c r="D26" s="183" t="s">
        <v>539</v>
      </c>
      <c r="E26" s="183" t="s">
        <v>540</v>
      </c>
      <c r="F26" s="183" t="s">
        <v>512</v>
      </c>
      <c r="G26" s="183" t="e">
        <f t="shared" si="3"/>
        <v>#REF!</v>
      </c>
      <c r="H26" s="416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677</v>
      </c>
      <c r="D27" s="183" t="s">
        <v>541</v>
      </c>
      <c r="E27" s="183" t="s">
        <v>542</v>
      </c>
      <c r="F27" s="183" t="s">
        <v>512</v>
      </c>
      <c r="G27" s="183" t="e">
        <f t="shared" si="3"/>
        <v>#REF!</v>
      </c>
      <c r="H27" s="416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543</v>
      </c>
      <c r="D28" s="183" t="s">
        <v>544</v>
      </c>
      <c r="E28" s="183" t="s">
        <v>545</v>
      </c>
      <c r="F28" s="183" t="s">
        <v>512</v>
      </c>
      <c r="G28" s="183" t="e">
        <f t="shared" si="3"/>
        <v>#REF!</v>
      </c>
      <c r="H28" s="416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313</v>
      </c>
      <c r="D29" s="183"/>
      <c r="E29" s="183" t="s">
        <v>546</v>
      </c>
      <c r="F29" s="183" t="s">
        <v>512</v>
      </c>
      <c r="G29" s="183" t="e">
        <f t="shared" si="3"/>
        <v>#REF!</v>
      </c>
      <c r="H29" s="416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315</v>
      </c>
      <c r="D30" s="183" t="s">
        <v>547</v>
      </c>
      <c r="E30" s="183" t="s">
        <v>548</v>
      </c>
      <c r="F30" s="183"/>
      <c r="G30" s="183" t="e">
        <f t="shared" si="3"/>
        <v>#REF!</v>
      </c>
      <c r="H30" s="416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316</v>
      </c>
      <c r="D31" s="183" t="s">
        <v>549</v>
      </c>
      <c r="E31" s="183" t="s">
        <v>550</v>
      </c>
      <c r="F31" s="183" t="s">
        <v>512</v>
      </c>
      <c r="G31" s="183" t="e">
        <f t="shared" si="3"/>
        <v>#REF!</v>
      </c>
      <c r="H31" s="416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672</v>
      </c>
      <c r="D32" s="183"/>
      <c r="E32" s="183" t="s">
        <v>673</v>
      </c>
      <c r="F32" s="183"/>
      <c r="G32" s="183" t="e">
        <f t="shared" si="3"/>
        <v>#REF!</v>
      </c>
      <c r="H32" s="417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676</v>
      </c>
      <c r="N32" t="s">
        <v>771</v>
      </c>
    </row>
    <row r="33" spans="2:14" ht="30" customHeight="1">
      <c r="B33" s="183">
        <v>25</v>
      </c>
      <c r="C33" s="183" t="s">
        <v>708</v>
      </c>
      <c r="D33" s="183"/>
      <c r="E33" s="183" t="s">
        <v>709</v>
      </c>
      <c r="F33" s="183"/>
      <c r="G33" s="183" t="e">
        <f t="shared" si="3"/>
        <v>#REF!</v>
      </c>
      <c r="H33" s="417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710</v>
      </c>
      <c r="N33" t="s">
        <v>772</v>
      </c>
    </row>
    <row r="34" spans="2:14" ht="30" customHeight="1">
      <c r="B34" s="183">
        <v>26</v>
      </c>
      <c r="C34" s="183" t="s">
        <v>551</v>
      </c>
      <c r="D34" s="183" t="s">
        <v>552</v>
      </c>
      <c r="E34" s="183" t="s">
        <v>506</v>
      </c>
      <c r="F34" s="183"/>
      <c r="G34" s="183" t="e">
        <f>#REF!</f>
        <v>#REF!</v>
      </c>
      <c r="H34" s="416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624</v>
      </c>
      <c r="D35" s="183"/>
      <c r="E35" s="183" t="s">
        <v>625</v>
      </c>
      <c r="F35" s="183"/>
      <c r="G35" s="183"/>
      <c r="H35" s="417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636</v>
      </c>
      <c r="N35" t="s">
        <v>777</v>
      </c>
    </row>
    <row r="36" spans="2:14" ht="30" customHeight="1">
      <c r="B36" s="183">
        <v>28</v>
      </c>
      <c r="C36" s="183" t="s">
        <v>553</v>
      </c>
      <c r="D36" s="183" t="s">
        <v>554</v>
      </c>
      <c r="E36" s="183" t="s">
        <v>555</v>
      </c>
      <c r="F36" s="183" t="s">
        <v>556</v>
      </c>
      <c r="G36" s="183" t="e">
        <f>G34</f>
        <v>#REF!</v>
      </c>
      <c r="H36" s="416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317</v>
      </c>
      <c r="D37" s="183" t="s">
        <v>557</v>
      </c>
      <c r="E37" s="183" t="s">
        <v>81</v>
      </c>
      <c r="F37" s="183"/>
      <c r="G37" s="183" t="e">
        <f t="shared" si="3"/>
        <v>#REF!</v>
      </c>
      <c r="H37" s="416">
        <f>6746/2</f>
        <v>3373</v>
      </c>
      <c r="I37" s="328">
        <f t="shared" si="4"/>
        <v>3373</v>
      </c>
      <c r="J37" s="358">
        <v>2000</v>
      </c>
      <c r="K37" s="259">
        <f t="shared" si="1"/>
        <v>1373</v>
      </c>
      <c r="L37" s="183"/>
    </row>
    <row r="38" spans="2:14" ht="30" customHeight="1">
      <c r="B38" s="183">
        <f t="shared" si="2"/>
        <v>30</v>
      </c>
      <c r="C38" s="183" t="s">
        <v>318</v>
      </c>
      <c r="D38" s="183"/>
      <c r="E38" s="183" t="s">
        <v>525</v>
      </c>
      <c r="F38" s="183"/>
      <c r="G38" s="183" t="e">
        <f>G61</f>
        <v>#REF!</v>
      </c>
      <c r="H38" s="416">
        <f>6864/2</f>
        <v>3432</v>
      </c>
      <c r="I38" s="328">
        <f t="shared" si="4"/>
        <v>3432</v>
      </c>
      <c r="J38" s="358">
        <v>500</v>
      </c>
      <c r="K38" s="259">
        <f t="shared" si="1"/>
        <v>2932</v>
      </c>
      <c r="L38" s="183"/>
    </row>
    <row r="39" spans="2:14" ht="30" customHeight="1">
      <c r="B39" s="183">
        <f t="shared" si="2"/>
        <v>31</v>
      </c>
      <c r="C39" s="183" t="s">
        <v>320</v>
      </c>
      <c r="D39" s="183"/>
      <c r="E39" s="183" t="s">
        <v>506</v>
      </c>
      <c r="F39" s="183"/>
      <c r="G39" s="183" t="e">
        <f>#REF!</f>
        <v>#REF!</v>
      </c>
      <c r="H39" s="416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319</v>
      </c>
      <c r="D40" s="183" t="s">
        <v>558</v>
      </c>
      <c r="E40" s="309" t="s">
        <v>559</v>
      </c>
      <c r="F40" s="183" t="s">
        <v>522</v>
      </c>
      <c r="G40" s="183" t="e">
        <f t="shared" si="3"/>
        <v>#REF!</v>
      </c>
      <c r="H40" s="416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560</v>
      </c>
      <c r="D41" s="183" t="s">
        <v>561</v>
      </c>
      <c r="E41" s="183" t="s">
        <v>559</v>
      </c>
      <c r="F41" s="183" t="s">
        <v>537</v>
      </c>
      <c r="G41" s="183" t="e">
        <f t="shared" si="3"/>
        <v>#REF!</v>
      </c>
      <c r="H41" s="416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562</v>
      </c>
      <c r="D42" s="183"/>
      <c r="E42" s="183" t="s">
        <v>563</v>
      </c>
      <c r="F42" s="183" t="s">
        <v>509</v>
      </c>
      <c r="G42" s="183" t="e">
        <f t="shared" si="3"/>
        <v>#REF!</v>
      </c>
      <c r="H42" s="416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 t="s">
        <v>456</v>
      </c>
      <c r="D43" s="183"/>
      <c r="E43" s="183" t="s">
        <v>555</v>
      </c>
      <c r="F43" s="183" t="s">
        <v>564</v>
      </c>
      <c r="G43" s="183" t="e">
        <f t="shared" si="3"/>
        <v>#REF!</v>
      </c>
      <c r="H43" s="416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4" ht="30" customHeight="1">
      <c r="B44" s="183">
        <f t="shared" si="2"/>
        <v>36</v>
      </c>
      <c r="C44" s="183" t="s">
        <v>590</v>
      </c>
      <c r="D44" s="183"/>
      <c r="E44" s="183" t="s">
        <v>591</v>
      </c>
      <c r="F44" s="183" t="s">
        <v>512</v>
      </c>
      <c r="G44" s="183"/>
      <c r="H44" s="416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489</v>
      </c>
      <c r="D45" s="183"/>
      <c r="E45" s="309" t="s">
        <v>565</v>
      </c>
      <c r="F45" s="183" t="s">
        <v>566</v>
      </c>
      <c r="G45" s="183">
        <f t="shared" si="3"/>
        <v>0</v>
      </c>
      <c r="H45" s="416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716</v>
      </c>
      <c r="D46" s="183"/>
      <c r="E46" s="183" t="s">
        <v>639</v>
      </c>
      <c r="F46" s="183" t="s">
        <v>638</v>
      </c>
      <c r="G46" s="183"/>
      <c r="H46" s="417"/>
      <c r="I46" s="330">
        <v>3300</v>
      </c>
      <c r="J46" s="330"/>
      <c r="K46" s="259">
        <f t="shared" si="1"/>
        <v>3300</v>
      </c>
      <c r="L46" s="183"/>
      <c r="M46" t="s">
        <v>717</v>
      </c>
      <c r="N46" t="s">
        <v>770</v>
      </c>
    </row>
    <row r="47" spans="2:14" ht="30" customHeight="1">
      <c r="B47" s="183">
        <f t="shared" si="2"/>
        <v>39</v>
      </c>
      <c r="C47" s="183" t="s">
        <v>631</v>
      </c>
      <c r="D47" s="183"/>
      <c r="E47" s="183" t="s">
        <v>627</v>
      </c>
      <c r="F47" s="183"/>
      <c r="G47" s="183">
        <f>G45</f>
        <v>0</v>
      </c>
      <c r="H47" s="416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691</v>
      </c>
      <c r="D48" s="183"/>
      <c r="E48" s="183" t="s">
        <v>692</v>
      </c>
      <c r="F48" s="183"/>
      <c r="G48" s="183"/>
      <c r="H48" s="417"/>
      <c r="I48" s="330">
        <v>6397</v>
      </c>
      <c r="J48" s="330"/>
      <c r="K48" s="259">
        <f t="shared" si="1"/>
        <v>6397</v>
      </c>
      <c r="L48" s="183"/>
      <c r="M48" t="s">
        <v>693</v>
      </c>
      <c r="N48" t="s">
        <v>773</v>
      </c>
    </row>
    <row r="49" spans="2:14" ht="30" customHeight="1">
      <c r="B49" s="183">
        <v>41</v>
      </c>
      <c r="C49" s="183" t="s">
        <v>655</v>
      </c>
      <c r="D49" s="183"/>
      <c r="E49" s="183" t="s">
        <v>656</v>
      </c>
      <c r="F49" s="183"/>
      <c r="G49" s="183"/>
      <c r="H49" s="416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</row>
    <row r="50" spans="2:14" ht="30" customHeight="1">
      <c r="B50" s="183">
        <f t="shared" si="2"/>
        <v>42</v>
      </c>
      <c r="C50" s="183" t="s">
        <v>678</v>
      </c>
      <c r="D50" s="183"/>
      <c r="E50" s="183" t="s">
        <v>679</v>
      </c>
      <c r="F50" s="183"/>
      <c r="G50" s="183"/>
      <c r="H50" s="416">
        <f>8320/2</f>
        <v>4160</v>
      </c>
      <c r="I50" s="330">
        <f t="shared" si="5"/>
        <v>4160</v>
      </c>
      <c r="J50" s="328"/>
      <c r="K50" s="259">
        <f t="shared" ref="K50:K55" si="6">I50-J50</f>
        <v>4160</v>
      </c>
      <c r="L50" s="183"/>
    </row>
    <row r="51" spans="2:14" ht="30" customHeight="1">
      <c r="B51" s="183">
        <f t="shared" si="2"/>
        <v>43</v>
      </c>
      <c r="C51" s="183" t="s">
        <v>703</v>
      </c>
      <c r="D51" s="183"/>
      <c r="E51" s="183" t="s">
        <v>702</v>
      </c>
      <c r="F51" s="183"/>
      <c r="G51" s="183"/>
      <c r="H51" s="417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701</v>
      </c>
      <c r="N51" t="s">
        <v>774</v>
      </c>
    </row>
    <row r="52" spans="2:14" ht="30" customHeight="1">
      <c r="B52" s="183">
        <v>44</v>
      </c>
      <c r="C52" s="183" t="s">
        <v>697</v>
      </c>
      <c r="D52" s="183"/>
      <c r="E52" s="183" t="s">
        <v>266</v>
      </c>
      <c r="F52" s="183" t="s">
        <v>704</v>
      </c>
      <c r="G52" s="183"/>
      <c r="H52" s="417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705</v>
      </c>
      <c r="N52" t="s">
        <v>775</v>
      </c>
    </row>
    <row r="53" spans="2:14" ht="30" customHeight="1">
      <c r="B53" s="183">
        <v>45</v>
      </c>
      <c r="C53" s="183" t="s">
        <v>698</v>
      </c>
      <c r="D53" s="183"/>
      <c r="E53" s="183" t="s">
        <v>699</v>
      </c>
      <c r="F53" s="183"/>
      <c r="G53" s="183"/>
      <c r="H53" s="417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700</v>
      </c>
      <c r="N53" t="s">
        <v>776</v>
      </c>
    </row>
    <row r="54" spans="2:14" ht="30" customHeight="1">
      <c r="B54" s="183">
        <v>46</v>
      </c>
      <c r="C54" s="183" t="s">
        <v>731</v>
      </c>
      <c r="D54" s="183"/>
      <c r="E54" s="183" t="s">
        <v>692</v>
      </c>
      <c r="F54" s="183"/>
      <c r="G54" s="183"/>
      <c r="H54" s="417"/>
      <c r="I54" s="330">
        <v>6370</v>
      </c>
      <c r="J54" s="330"/>
      <c r="K54" s="259">
        <f t="shared" si="6"/>
        <v>6370</v>
      </c>
    </row>
    <row r="55" spans="2:14" ht="30" customHeight="1">
      <c r="B55" s="183">
        <v>47</v>
      </c>
      <c r="C55" s="183" t="s">
        <v>763</v>
      </c>
      <c r="D55" s="183"/>
      <c r="E55" s="183" t="s">
        <v>259</v>
      </c>
      <c r="F55" s="183"/>
      <c r="G55" s="183"/>
      <c r="H55" s="417"/>
      <c r="I55" s="330">
        <v>3600</v>
      </c>
      <c r="J55" s="330"/>
      <c r="K55" s="259">
        <f t="shared" si="6"/>
        <v>3600</v>
      </c>
    </row>
    <row r="56" spans="2:14" ht="30" customHeight="1">
      <c r="F56" s="261" t="s">
        <v>58</v>
      </c>
      <c r="G56" s="271" t="s">
        <v>58</v>
      </c>
      <c r="H56" s="418"/>
      <c r="I56" s="331">
        <f>SUM(I9:I55)</f>
        <v>156006</v>
      </c>
      <c r="J56" s="331">
        <f>SUM(J9:J53)</f>
        <v>3500</v>
      </c>
      <c r="K56" s="272">
        <f>SUM(K9:K55)</f>
        <v>152506</v>
      </c>
    </row>
    <row r="57" spans="2:14" ht="17.25" customHeight="1">
      <c r="H57" s="419"/>
      <c r="I57" s="332"/>
      <c r="J57" s="332"/>
      <c r="K57" s="264"/>
    </row>
    <row r="58" spans="2:14" ht="30" customHeight="1">
      <c r="B58" s="183">
        <v>1</v>
      </c>
      <c r="C58" s="183" t="s">
        <v>567</v>
      </c>
      <c r="D58" s="183"/>
      <c r="E58" s="183" t="s">
        <v>568</v>
      </c>
      <c r="F58" s="183" t="s">
        <v>569</v>
      </c>
      <c r="G58" s="183">
        <f>G12</f>
        <v>0</v>
      </c>
      <c r="H58" s="416">
        <f>2206/2</f>
        <v>1103</v>
      </c>
      <c r="I58" s="328">
        <f>H58</f>
        <v>1103</v>
      </c>
      <c r="J58" s="328"/>
      <c r="K58" s="259">
        <f>I58-J58</f>
        <v>1103</v>
      </c>
      <c r="L58" s="183"/>
    </row>
    <row r="59" spans="2:14" ht="30" customHeight="1">
      <c r="B59" s="183">
        <v>2</v>
      </c>
      <c r="C59" s="183" t="s">
        <v>643</v>
      </c>
      <c r="D59" s="183" t="s">
        <v>570</v>
      </c>
      <c r="E59" s="183" t="s">
        <v>571</v>
      </c>
      <c r="F59" s="183" t="s">
        <v>512</v>
      </c>
      <c r="G59" s="183">
        <f>G17</f>
        <v>0</v>
      </c>
      <c r="H59" s="416">
        <f>2310/2</f>
        <v>1155</v>
      </c>
      <c r="I59" s="328">
        <f>H59</f>
        <v>1155</v>
      </c>
      <c r="J59" s="328"/>
      <c r="K59" s="259">
        <f t="shared" ref="K59:K62" si="7">I59-J59</f>
        <v>1155</v>
      </c>
      <c r="L59" s="183"/>
    </row>
    <row r="60" spans="2:14" ht="30" customHeight="1">
      <c r="B60" s="183">
        <v>3</v>
      </c>
      <c r="C60" s="183" t="s">
        <v>707</v>
      </c>
      <c r="D60" s="183" t="s">
        <v>572</v>
      </c>
      <c r="E60" s="183" t="s">
        <v>571</v>
      </c>
      <c r="F60" s="183" t="s">
        <v>512</v>
      </c>
      <c r="G60" s="183">
        <f>G59</f>
        <v>0</v>
      </c>
      <c r="H60" s="416">
        <f>2310/2</f>
        <v>1155</v>
      </c>
      <c r="I60" s="328">
        <f>H60</f>
        <v>1155</v>
      </c>
      <c r="J60" s="328"/>
      <c r="K60" s="259">
        <f t="shared" si="7"/>
        <v>1155</v>
      </c>
      <c r="L60" s="183"/>
      <c r="M60" t="s">
        <v>706</v>
      </c>
      <c r="N60" t="s">
        <v>778</v>
      </c>
    </row>
    <row r="61" spans="2:14" ht="30" customHeight="1">
      <c r="B61" s="183">
        <v>4</v>
      </c>
      <c r="C61" s="183" t="s">
        <v>573</v>
      </c>
      <c r="D61" s="183" t="s">
        <v>574</v>
      </c>
      <c r="E61" s="183" t="s">
        <v>575</v>
      </c>
      <c r="F61" s="183"/>
      <c r="G61" s="183" t="e">
        <f>#REF!</f>
        <v>#REF!</v>
      </c>
      <c r="H61" s="416">
        <f>2100/2</f>
        <v>1050</v>
      </c>
      <c r="I61" s="328">
        <f>H61</f>
        <v>1050</v>
      </c>
      <c r="J61" s="328"/>
      <c r="K61" s="259">
        <f t="shared" si="7"/>
        <v>1050</v>
      </c>
      <c r="L61" s="183"/>
    </row>
    <row r="62" spans="2:14" ht="30" customHeight="1">
      <c r="B62" s="183">
        <v>5</v>
      </c>
      <c r="C62" s="183" t="s">
        <v>490</v>
      </c>
      <c r="D62" s="183" t="s">
        <v>576</v>
      </c>
      <c r="E62" s="183" t="s">
        <v>577</v>
      </c>
      <c r="F62" s="183" t="s">
        <v>564</v>
      </c>
      <c r="G62" s="183" t="e">
        <f>#REF!</f>
        <v>#REF!</v>
      </c>
      <c r="H62" s="416">
        <f>2142/2</f>
        <v>1071</v>
      </c>
      <c r="I62" s="328">
        <f>H62</f>
        <v>1071</v>
      </c>
      <c r="J62" s="328"/>
      <c r="K62" s="259">
        <f t="shared" si="7"/>
        <v>1071</v>
      </c>
      <c r="L62" s="183"/>
    </row>
    <row r="63" spans="2:14" ht="30" customHeight="1">
      <c r="F63" s="265" t="s">
        <v>578</v>
      </c>
      <c r="G63" s="262" t="s">
        <v>58</v>
      </c>
      <c r="H63" s="420"/>
      <c r="I63" s="333">
        <f>SUM(I58:I62)</f>
        <v>5534</v>
      </c>
      <c r="J63" s="333">
        <f>SUM(J58:J62)</f>
        <v>0</v>
      </c>
      <c r="K63" s="263">
        <f>SUM(K58:K62)</f>
        <v>5534</v>
      </c>
    </row>
    <row r="64" spans="2:14" ht="13.5" customHeight="1" thickBot="1">
      <c r="B64" s="249">
        <v>51</v>
      </c>
      <c r="C64" s="249"/>
      <c r="D64" s="249"/>
      <c r="E64" s="249"/>
      <c r="F64" s="266"/>
      <c r="G64" s="266"/>
      <c r="H64" s="421"/>
      <c r="I64" s="334"/>
      <c r="J64" s="334"/>
      <c r="K64" s="267"/>
      <c r="L64" s="249"/>
    </row>
    <row r="65" spans="6:11" ht="25.5" customHeight="1" thickTop="1">
      <c r="F65" s="268" t="s">
        <v>58</v>
      </c>
      <c r="G65" s="269" t="s">
        <v>58</v>
      </c>
      <c r="H65" s="422"/>
      <c r="I65" s="339">
        <f>I56+I63</f>
        <v>161540</v>
      </c>
      <c r="J65" s="270">
        <f>SUM(J56+J63)</f>
        <v>3500</v>
      </c>
      <c r="K65" s="270">
        <f>SUM(K56+K63)</f>
        <v>158040</v>
      </c>
    </row>
    <row r="66" spans="6:11">
      <c r="H66" s="419"/>
      <c r="I66" s="332"/>
      <c r="J66" s="332"/>
      <c r="K66" s="264"/>
    </row>
    <row r="70" spans="6:11">
      <c r="K70" s="254">
        <f>I65-J65</f>
        <v>158040</v>
      </c>
    </row>
    <row r="71" spans="6:11">
      <c r="K71" s="254">
        <f>K65-K70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L33"/>
  <sheetViews>
    <sheetView workbookViewId="0">
      <selection activeCell="G16" sqref="G16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2" t="s">
        <v>599</v>
      </c>
      <c r="D2" s="652"/>
      <c r="E2" s="652"/>
      <c r="F2" s="652"/>
      <c r="G2" s="652"/>
      <c r="H2" s="652"/>
      <c r="I2" s="652"/>
      <c r="J2" s="652"/>
      <c r="K2" s="276"/>
    </row>
    <row r="3" spans="3:12" ht="42.75">
      <c r="C3" s="653" t="s">
        <v>761</v>
      </c>
      <c r="D3" s="653"/>
      <c r="E3" s="653"/>
      <c r="F3" s="653"/>
      <c r="G3" s="653"/>
      <c r="H3" s="653"/>
      <c r="I3" s="653"/>
      <c r="J3" s="341"/>
      <c r="K3" s="199"/>
    </row>
    <row r="4" spans="3:12" ht="18.75">
      <c r="C4" s="654" t="s">
        <v>369</v>
      </c>
      <c r="D4" s="656" t="s">
        <v>52</v>
      </c>
      <c r="E4" s="656"/>
      <c r="F4" s="656"/>
      <c r="G4" s="197"/>
      <c r="H4" s="197" t="s">
        <v>718</v>
      </c>
      <c r="I4" s="197"/>
      <c r="J4" s="183"/>
      <c r="K4" s="183"/>
    </row>
    <row r="5" spans="3:12" ht="18.75">
      <c r="C5" s="655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368</v>
      </c>
      <c r="K5" s="277" t="s">
        <v>586</v>
      </c>
    </row>
    <row r="6" spans="3:12">
      <c r="C6" s="192">
        <v>1</v>
      </c>
      <c r="D6" s="195" t="s">
        <v>332</v>
      </c>
      <c r="E6" s="195" t="s">
        <v>359</v>
      </c>
      <c r="F6" s="191" t="s">
        <v>358</v>
      </c>
      <c r="G6" s="195" t="s">
        <v>357</v>
      </c>
      <c r="H6" s="195">
        <v>122</v>
      </c>
      <c r="I6" s="194" t="s">
        <v>366</v>
      </c>
      <c r="J6" s="426">
        <v>1102</v>
      </c>
      <c r="K6" s="193"/>
    </row>
    <row r="7" spans="3:12">
      <c r="C7" s="192">
        <v>2</v>
      </c>
      <c r="D7" s="195" t="s">
        <v>345</v>
      </c>
      <c r="E7" s="195" t="s">
        <v>340</v>
      </c>
      <c r="F7" s="195" t="s">
        <v>344</v>
      </c>
      <c r="G7" s="195" t="s">
        <v>343</v>
      </c>
      <c r="H7" s="195">
        <v>122</v>
      </c>
      <c r="I7" s="196">
        <v>15544028286487</v>
      </c>
      <c r="J7" s="426">
        <v>1102</v>
      </c>
      <c r="K7" s="193"/>
    </row>
    <row r="8" spans="3:12">
      <c r="C8" s="192">
        <v>3</v>
      </c>
      <c r="D8" s="195" t="s">
        <v>680</v>
      </c>
      <c r="E8" s="195" t="s">
        <v>681</v>
      </c>
      <c r="F8" s="195" t="s">
        <v>682</v>
      </c>
      <c r="G8" s="195" t="s">
        <v>342</v>
      </c>
      <c r="H8" s="195">
        <v>122</v>
      </c>
      <c r="I8" s="196">
        <v>15600228287644</v>
      </c>
      <c r="J8" s="426">
        <v>1102</v>
      </c>
      <c r="K8" s="193"/>
    </row>
    <row r="9" spans="3:12">
      <c r="C9" s="192">
        <v>4</v>
      </c>
      <c r="D9" s="195" t="s">
        <v>356</v>
      </c>
      <c r="E9" s="195" t="s">
        <v>492</v>
      </c>
      <c r="F9" s="195" t="s">
        <v>491</v>
      </c>
      <c r="G9" s="195" t="s">
        <v>719</v>
      </c>
      <c r="H9" s="195">
        <v>122</v>
      </c>
      <c r="I9" s="196"/>
      <c r="J9" s="426">
        <v>1102</v>
      </c>
      <c r="K9" s="193"/>
    </row>
    <row r="10" spans="3:12">
      <c r="C10" s="192">
        <v>5</v>
      </c>
      <c r="D10" s="195" t="s">
        <v>328</v>
      </c>
      <c r="E10" s="195" t="s">
        <v>327</v>
      </c>
      <c r="F10" s="191" t="s">
        <v>326</v>
      </c>
      <c r="G10" s="195" t="s">
        <v>325</v>
      </c>
      <c r="H10" s="195">
        <v>122</v>
      </c>
      <c r="I10" s="194" t="s">
        <v>354</v>
      </c>
      <c r="J10" s="426">
        <v>1102</v>
      </c>
      <c r="K10" s="308"/>
      <c r="L10" s="342"/>
    </row>
    <row r="11" spans="3:12">
      <c r="C11" s="192">
        <v>6</v>
      </c>
      <c r="D11" s="191" t="s">
        <v>324</v>
      </c>
      <c r="E11" s="191" t="s">
        <v>323</v>
      </c>
      <c r="F11" s="191" t="s">
        <v>322</v>
      </c>
      <c r="G11" s="191" t="s">
        <v>321</v>
      </c>
      <c r="H11" s="195">
        <v>122</v>
      </c>
      <c r="I11" s="194" t="s">
        <v>349</v>
      </c>
      <c r="J11" s="426">
        <v>1102</v>
      </c>
      <c r="K11" s="193"/>
    </row>
    <row r="12" spans="3:12">
      <c r="C12" s="192">
        <v>7</v>
      </c>
      <c r="D12" s="195" t="s">
        <v>580</v>
      </c>
      <c r="E12" s="195" t="s">
        <v>581</v>
      </c>
      <c r="F12" s="195" t="s">
        <v>582</v>
      </c>
      <c r="G12" s="195" t="s">
        <v>583</v>
      </c>
      <c r="H12" s="195">
        <v>122</v>
      </c>
      <c r="I12" s="194" t="s">
        <v>346</v>
      </c>
      <c r="J12" s="426">
        <v>1646</v>
      </c>
      <c r="K12" s="193"/>
    </row>
    <row r="13" spans="3:12">
      <c r="C13" s="192">
        <v>8</v>
      </c>
      <c r="D13" s="195" t="s">
        <v>614</v>
      </c>
      <c r="E13" s="195" t="s">
        <v>359</v>
      </c>
      <c r="F13" s="195" t="s">
        <v>615</v>
      </c>
      <c r="G13" s="195" t="s">
        <v>616</v>
      </c>
      <c r="H13" s="195">
        <v>122</v>
      </c>
      <c r="I13" s="196">
        <v>1553028285628</v>
      </c>
      <c r="J13" s="426">
        <v>1102</v>
      </c>
      <c r="K13" s="193"/>
    </row>
    <row r="14" spans="3:12">
      <c r="C14" s="192">
        <v>9</v>
      </c>
      <c r="D14" s="195" t="s">
        <v>620</v>
      </c>
      <c r="E14" s="195" t="s">
        <v>621</v>
      </c>
      <c r="F14" s="195" t="s">
        <v>344</v>
      </c>
      <c r="G14" s="195" t="s">
        <v>622</v>
      </c>
      <c r="H14" s="195">
        <v>122</v>
      </c>
      <c r="I14" s="196"/>
      <c r="J14" s="426">
        <v>1102</v>
      </c>
      <c r="K14" s="193"/>
    </row>
    <row r="15" spans="3:12">
      <c r="C15" s="567">
        <v>10</v>
      </c>
      <c r="D15" s="218" t="s">
        <v>757</v>
      </c>
      <c r="E15" s="218" t="s">
        <v>758</v>
      </c>
      <c r="F15" s="218" t="s">
        <v>759</v>
      </c>
      <c r="G15" s="218" t="s">
        <v>760</v>
      </c>
      <c r="H15" s="218">
        <v>122</v>
      </c>
      <c r="I15" s="568"/>
      <c r="J15" s="569">
        <v>1646</v>
      </c>
      <c r="K15" s="570"/>
      <c r="L15" t="s">
        <v>724</v>
      </c>
    </row>
    <row r="16" spans="3:12" ht="26.25" customHeight="1" thickBot="1">
      <c r="C16" s="472">
        <v>11</v>
      </c>
      <c r="D16" s="473" t="s">
        <v>584</v>
      </c>
      <c r="E16" s="473" t="s">
        <v>580</v>
      </c>
      <c r="F16" s="473" t="s">
        <v>585</v>
      </c>
      <c r="G16" s="474" t="s">
        <v>617</v>
      </c>
      <c r="H16" s="475">
        <v>122</v>
      </c>
      <c r="I16" s="476" t="s">
        <v>337</v>
      </c>
      <c r="J16" s="491">
        <v>1576</v>
      </c>
      <c r="K16" s="477"/>
    </row>
    <row r="17" spans="3:12" ht="15.75" thickTop="1">
      <c r="C17" s="466"/>
      <c r="D17" s="467"/>
      <c r="E17" s="467"/>
      <c r="F17" s="467"/>
      <c r="G17" s="468"/>
      <c r="H17" s="229"/>
      <c r="I17" s="469"/>
      <c r="J17" s="470">
        <f>SUM(J6:J16)</f>
        <v>13684</v>
      </c>
      <c r="K17" s="471"/>
    </row>
    <row r="18" spans="3:12">
      <c r="C18" s="466"/>
      <c r="D18" s="229"/>
      <c r="E18" s="229"/>
      <c r="F18" s="467"/>
      <c r="G18" s="229"/>
      <c r="H18" s="229"/>
      <c r="I18" s="469"/>
      <c r="J18" s="471"/>
      <c r="K18" s="471"/>
    </row>
    <row r="19" spans="3:12">
      <c r="C19" s="424">
        <v>12</v>
      </c>
      <c r="D19" s="195" t="s">
        <v>335</v>
      </c>
      <c r="E19" s="195" t="s">
        <v>348</v>
      </c>
      <c r="F19" s="191" t="s">
        <v>592</v>
      </c>
      <c r="G19" s="195" t="s">
        <v>367</v>
      </c>
      <c r="H19" s="195">
        <v>443</v>
      </c>
      <c r="I19" s="196" t="s">
        <v>336</v>
      </c>
      <c r="J19" s="426">
        <v>1102</v>
      </c>
      <c r="K19" s="193"/>
    </row>
    <row r="20" spans="3:12">
      <c r="C20" s="192">
        <v>13</v>
      </c>
      <c r="D20" s="191" t="s">
        <v>365</v>
      </c>
      <c r="E20" s="191" t="s">
        <v>334</v>
      </c>
      <c r="F20" s="191" t="s">
        <v>364</v>
      </c>
      <c r="G20" s="195" t="s">
        <v>363</v>
      </c>
      <c r="H20" s="195">
        <v>443</v>
      </c>
      <c r="I20" s="196"/>
      <c r="J20" s="426">
        <v>1102</v>
      </c>
      <c r="K20" s="189"/>
    </row>
    <row r="21" spans="3:12">
      <c r="C21" s="192">
        <v>14</v>
      </c>
      <c r="D21" s="195" t="s">
        <v>580</v>
      </c>
      <c r="E21" s="195" t="s">
        <v>581</v>
      </c>
      <c r="F21" s="195" t="s">
        <v>671</v>
      </c>
      <c r="G21" s="195" t="s">
        <v>355</v>
      </c>
      <c r="H21" s="195">
        <v>443</v>
      </c>
      <c r="I21" s="194"/>
      <c r="J21" s="426">
        <v>1102</v>
      </c>
      <c r="K21" s="193"/>
    </row>
    <row r="22" spans="3:12">
      <c r="C22" s="192">
        <v>15</v>
      </c>
      <c r="D22" s="195" t="s">
        <v>353</v>
      </c>
      <c r="E22" s="195" t="s">
        <v>352</v>
      </c>
      <c r="F22" s="191" t="s">
        <v>351</v>
      </c>
      <c r="G22" s="195" t="s">
        <v>350</v>
      </c>
      <c r="H22" s="195">
        <v>443</v>
      </c>
      <c r="I22" s="194"/>
      <c r="J22" s="426">
        <v>1102</v>
      </c>
      <c r="K22" s="193"/>
    </row>
    <row r="23" spans="3:12">
      <c r="C23" s="192">
        <v>16</v>
      </c>
      <c r="D23" s="195" t="s">
        <v>722</v>
      </c>
      <c r="E23" s="195" t="s">
        <v>323</v>
      </c>
      <c r="F23" s="191" t="s">
        <v>723</v>
      </c>
      <c r="G23" s="195" t="s">
        <v>347</v>
      </c>
      <c r="H23" s="195">
        <v>443</v>
      </c>
      <c r="I23" s="190"/>
      <c r="J23" s="426">
        <v>1102</v>
      </c>
      <c r="K23" s="189"/>
      <c r="L23" s="318" t="s">
        <v>724</v>
      </c>
    </row>
    <row r="24" spans="3:12">
      <c r="C24" s="424">
        <v>17</v>
      </c>
      <c r="D24" s="195" t="s">
        <v>341</v>
      </c>
      <c r="E24" s="195" t="s">
        <v>340</v>
      </c>
      <c r="F24" s="191" t="s">
        <v>339</v>
      </c>
      <c r="G24" s="195" t="s">
        <v>338</v>
      </c>
      <c r="H24" s="195">
        <v>443</v>
      </c>
      <c r="I24" s="194"/>
      <c r="J24" s="426">
        <v>1102</v>
      </c>
      <c r="K24" s="189"/>
    </row>
    <row r="25" spans="3:12">
      <c r="C25" s="424">
        <v>18</v>
      </c>
      <c r="D25" s="425" t="s">
        <v>335</v>
      </c>
      <c r="E25" s="425" t="s">
        <v>653</v>
      </c>
      <c r="F25" s="425" t="s">
        <v>666</v>
      </c>
      <c r="G25" s="195" t="s">
        <v>333</v>
      </c>
      <c r="H25" s="195">
        <v>443</v>
      </c>
      <c r="I25" s="194"/>
      <c r="J25" s="426">
        <v>1102</v>
      </c>
      <c r="K25" s="189"/>
    </row>
    <row r="26" spans="3:12" ht="15.75" thickBot="1">
      <c r="C26" s="483">
        <v>19</v>
      </c>
      <c r="D26" s="475" t="s">
        <v>332</v>
      </c>
      <c r="E26" s="475" t="s">
        <v>331</v>
      </c>
      <c r="F26" s="473" t="s">
        <v>330</v>
      </c>
      <c r="G26" s="475" t="s">
        <v>329</v>
      </c>
      <c r="H26" s="475">
        <v>443</v>
      </c>
      <c r="I26" s="484"/>
      <c r="J26" s="491">
        <v>1102</v>
      </c>
      <c r="K26" s="485"/>
      <c r="L26" s="342"/>
    </row>
    <row r="27" spans="3:12" ht="15.75" thickTop="1">
      <c r="C27" s="466"/>
      <c r="D27" s="229"/>
      <c r="E27" s="229"/>
      <c r="F27" s="467"/>
      <c r="G27" s="229"/>
      <c r="H27" s="229"/>
      <c r="I27" s="482"/>
      <c r="J27" s="486">
        <f>SUM(J19:J26)</f>
        <v>8816</v>
      </c>
      <c r="K27" s="480"/>
      <c r="L27" s="342"/>
    </row>
    <row r="28" spans="3:12">
      <c r="C28" s="466"/>
      <c r="D28" s="229"/>
      <c r="E28" s="229"/>
      <c r="F28" s="467"/>
      <c r="G28" s="229"/>
      <c r="H28" s="229"/>
      <c r="I28" s="482"/>
      <c r="J28" s="481"/>
      <c r="K28" s="480"/>
      <c r="L28" s="342"/>
    </row>
    <row r="29" spans="3:12">
      <c r="C29" s="538">
        <v>20</v>
      </c>
      <c r="D29" s="195" t="s">
        <v>324</v>
      </c>
      <c r="E29" s="195" t="s">
        <v>362</v>
      </c>
      <c r="F29" s="191" t="s">
        <v>361</v>
      </c>
      <c r="G29" s="195" t="s">
        <v>360</v>
      </c>
      <c r="H29" s="191">
        <v>445</v>
      </c>
      <c r="I29" s="190" t="s">
        <v>618</v>
      </c>
      <c r="J29" s="308">
        <v>1092</v>
      </c>
      <c r="K29" s="189"/>
    </row>
    <row r="30" spans="3:12">
      <c r="C30" s="478"/>
      <c r="D30" s="229"/>
      <c r="E30" s="229"/>
      <c r="F30" s="467"/>
      <c r="G30" s="229"/>
      <c r="H30" s="467"/>
      <c r="I30" s="479"/>
      <c r="J30" s="486">
        <f>SUM(J29)</f>
        <v>1092</v>
      </c>
      <c r="K30" s="480"/>
    </row>
    <row r="31" spans="3:12" ht="11.25" customHeight="1">
      <c r="C31" s="478"/>
      <c r="D31" s="229"/>
      <c r="E31" s="229"/>
      <c r="F31" s="467"/>
      <c r="G31" s="229"/>
      <c r="H31" s="467"/>
      <c r="I31" s="479"/>
      <c r="J31" s="487"/>
      <c r="K31" s="480"/>
    </row>
    <row r="32" spans="3:12" ht="15.75" thickBot="1">
      <c r="C32" s="266"/>
      <c r="D32" s="266"/>
      <c r="E32" s="266"/>
      <c r="F32" s="266"/>
      <c r="G32" s="266"/>
      <c r="H32" s="488"/>
      <c r="I32" s="488"/>
      <c r="J32" s="489">
        <f>J17+J27+J30</f>
        <v>23592</v>
      </c>
      <c r="K32" s="490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S36"/>
  <sheetViews>
    <sheetView workbookViewId="0">
      <selection activeCell="H13" sqref="H1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79"/>
      <c r="D1" s="580"/>
      <c r="E1" s="580"/>
      <c r="F1" s="580"/>
      <c r="G1" s="580"/>
      <c r="H1" s="580"/>
      <c r="I1" s="29"/>
      <c r="J1" s="29"/>
      <c r="K1" s="29"/>
      <c r="L1" s="29"/>
    </row>
    <row r="2" spans="2:15" ht="19.5">
      <c r="B2" s="581" t="s">
        <v>222</v>
      </c>
      <c r="C2" s="582"/>
      <c r="D2" s="582"/>
      <c r="E2" s="582"/>
      <c r="F2" s="582"/>
      <c r="G2" s="582"/>
      <c r="H2" s="582"/>
      <c r="I2" s="582"/>
      <c r="J2" s="582"/>
      <c r="K2" s="582"/>
      <c r="L2" s="583"/>
    </row>
    <row r="3" spans="2:15">
      <c r="B3" s="584" t="s">
        <v>755</v>
      </c>
      <c r="C3" s="585"/>
      <c r="D3" s="585"/>
      <c r="E3" s="585"/>
      <c r="F3" s="585"/>
      <c r="G3" s="585"/>
      <c r="H3" s="585"/>
      <c r="I3" s="585"/>
      <c r="J3" s="585"/>
      <c r="K3" s="585"/>
      <c r="L3" s="586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1" t="s">
        <v>1</v>
      </c>
      <c r="C6" s="512" t="s">
        <v>2</v>
      </c>
      <c r="D6" s="512" t="s">
        <v>3</v>
      </c>
      <c r="E6" s="512" t="s">
        <v>238</v>
      </c>
      <c r="F6" s="513" t="s">
        <v>4</v>
      </c>
      <c r="G6" s="513" t="s">
        <v>5</v>
      </c>
      <c r="H6" s="512" t="s">
        <v>48</v>
      </c>
      <c r="I6" s="512" t="s">
        <v>47</v>
      </c>
      <c r="J6" s="513" t="s">
        <v>6</v>
      </c>
      <c r="K6" s="514" t="s">
        <v>7</v>
      </c>
      <c r="L6" s="515" t="s">
        <v>29</v>
      </c>
    </row>
    <row r="7" spans="2:15">
      <c r="B7" s="54" t="s">
        <v>378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281</v>
      </c>
      <c r="C8" s="3" t="s">
        <v>370</v>
      </c>
      <c r="D8" s="9">
        <f>7780/2</f>
        <v>3890</v>
      </c>
      <c r="E8" s="9" t="s">
        <v>241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282</v>
      </c>
      <c r="C9" s="3" t="s">
        <v>371</v>
      </c>
      <c r="D9" s="9">
        <f>7498/2</f>
        <v>3749</v>
      </c>
      <c r="E9" s="9" t="s">
        <v>250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30" customFormat="1" ht="39.950000000000003" customHeight="1">
      <c r="B10" s="427" t="s">
        <v>283</v>
      </c>
      <c r="C10" s="326" t="s">
        <v>372</v>
      </c>
      <c r="D10" s="360">
        <v>4644.6400000000003</v>
      </c>
      <c r="E10" s="360" t="s">
        <v>250</v>
      </c>
      <c r="F10" s="360">
        <v>0</v>
      </c>
      <c r="G10" s="360">
        <f t="shared" si="0"/>
        <v>4644.6400000000003</v>
      </c>
      <c r="H10" s="360">
        <v>0</v>
      </c>
      <c r="I10" s="360"/>
      <c r="J10" s="360">
        <f t="shared" si="1"/>
        <v>0</v>
      </c>
      <c r="K10" s="428">
        <f>D10</f>
        <v>4644.6400000000003</v>
      </c>
      <c r="L10" s="429"/>
      <c r="O10" s="431"/>
    </row>
    <row r="11" spans="2:15" ht="39.950000000000003" customHeight="1">
      <c r="B11" s="171" t="s">
        <v>284</v>
      </c>
      <c r="C11" s="3" t="s">
        <v>373</v>
      </c>
      <c r="D11" s="9">
        <f>5214/2</f>
        <v>2607</v>
      </c>
      <c r="E11" s="9" t="s">
        <v>259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285</v>
      </c>
      <c r="C12" s="3" t="s">
        <v>374</v>
      </c>
      <c r="D12" s="9">
        <f>7104/2</f>
        <v>3552</v>
      </c>
      <c r="E12" s="9" t="s">
        <v>259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286</v>
      </c>
      <c r="C13" s="3" t="s">
        <v>375</v>
      </c>
      <c r="D13" s="9">
        <f>10936/2</f>
        <v>5468</v>
      </c>
      <c r="E13" s="9" t="s">
        <v>376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287</v>
      </c>
      <c r="C14" s="3" t="s">
        <v>377</v>
      </c>
      <c r="D14" s="9">
        <f>5076/2</f>
        <v>2538</v>
      </c>
      <c r="E14" s="9" t="s">
        <v>259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236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237</v>
      </c>
    </row>
    <row r="19" spans="2:19">
      <c r="B19" s="587" t="s">
        <v>470</v>
      </c>
      <c r="C19" s="587"/>
      <c r="D19" s="181"/>
      <c r="F19" s="588" t="s">
        <v>45</v>
      </c>
      <c r="G19" s="588"/>
      <c r="H19" s="588"/>
      <c r="I19" s="588"/>
      <c r="K19" s="588" t="s">
        <v>646</v>
      </c>
      <c r="L19" s="588"/>
      <c r="M19" s="6"/>
      <c r="O19" s="115"/>
      <c r="P19" s="115"/>
      <c r="R19" s="174"/>
    </row>
    <row r="20" spans="2:19">
      <c r="B20" s="588" t="s">
        <v>150</v>
      </c>
      <c r="C20" s="588"/>
      <c r="D20" s="6"/>
      <c r="F20" s="588" t="s">
        <v>151</v>
      </c>
      <c r="G20" s="588"/>
      <c r="H20" s="588"/>
      <c r="I20" s="588"/>
      <c r="K20" s="588" t="s">
        <v>30</v>
      </c>
      <c r="L20" s="588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224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234</v>
      </c>
    </row>
    <row r="25" spans="2:19">
      <c r="O25" s="170"/>
    </row>
    <row r="26" spans="2:19">
      <c r="O26" s="170"/>
      <c r="R26" s="173">
        <v>128320</v>
      </c>
      <c r="S26" s="168" t="s">
        <v>277</v>
      </c>
    </row>
    <row r="27" spans="2:19">
      <c r="O27" s="179"/>
      <c r="R27" s="180">
        <f>SUM(R15:R26)</f>
        <v>462824.94</v>
      </c>
      <c r="S27" s="168" t="s">
        <v>278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ORD. DE PAGO QUINCENAL</vt:lpstr>
      <vt:lpstr>PAGO TRAB.MENSUALES</vt:lpstr>
      <vt:lpstr>NOMINA PENSIONADOS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2020-06-11T17:44:54Z</cp:lastPrinted>
  <dcterms:created xsi:type="dcterms:W3CDTF">2018-09-24T18:29:12Z</dcterms:created>
  <dcterms:modified xsi:type="dcterms:W3CDTF">2023-08-09T19:03:27Z</dcterms:modified>
</cp:coreProperties>
</file>